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S:\INTERNET\"/>
    </mc:Choice>
  </mc:AlternateContent>
  <xr:revisionPtr revIDLastSave="0" documentId="8_{939D6BF1-9A6F-418A-89F3-EF89F8DFFB24}" xr6:coauthVersionLast="47" xr6:coauthVersionMax="47" xr10:uidLastSave="{00000000-0000-0000-0000-000000000000}"/>
  <workbookProtection workbookAlgorithmName="SHA-512" workbookHashValue="5QvH2sIOsoo45UlhNy+B8S+CXu7ppmNOceVjsYoTGYNM+uYVGSReSbnPwrPEPYlW7ouOG3wlsNOnuKGjZfAr2Q==" workbookSaltValue="fbKw6Q8gN3bSYvpXG2YZMA==" workbookSpinCount="100000" lockStructure="1"/>
  <bookViews>
    <workbookView showHorizontalScroll="0" showVerticalScroll="0" showSheetTabs="0" xWindow="-120" yWindow="-120" windowWidth="29040" windowHeight="15840" tabRatio="793" xr2:uid="{AA08820D-2175-40A0-AFC0-7FC53516D558}"/>
  </bookViews>
  <sheets>
    <sheet name="DIM" sheetId="30" r:id="rId1"/>
    <sheet name="descriptif" sheetId="38" r:id="rId2"/>
    <sheet name="AIDE" sheetId="37" r:id="rId3"/>
    <sheet name="polyseac" sheetId="31" r:id="rId4"/>
    <sheet name="ebsvs" sheetId="33" r:id="rId5"/>
    <sheet name="plastivs" sheetId="34" r:id="rId6"/>
    <sheet name="seacisol" sheetId="36" r:id="rId7"/>
    <sheet name="ebset" sheetId="35" r:id="rId8"/>
    <sheet name="images" sheetId="32" r:id="rId9"/>
    <sheet name="GF SE VS Polyseac Jum" sheetId="26" state="hidden" r:id="rId10"/>
  </sheets>
  <definedNames>
    <definedName name="geometrie">#REF!</definedName>
    <definedName name="nomproduit">images!$B$5:$B$10</definedName>
    <definedName name="NOTE_DE_CALCUL">#REF!</definedName>
    <definedName name="photo">OFFSET(images!$C$4,MATCH(DIM!$G$32,nomproduit,0),0)</definedName>
    <definedName name="position">#REF!</definedName>
    <definedName name="_xlnm.Print_Area" localSheetId="0">DIM!$G$2:$U$45</definedName>
  </definedNames>
  <calcPr calcId="191029"/>
  <customWorkbookViews>
    <customWorkbookView name="ANCRA (CALCPLLE)" guid="{8096D780-774E-11D3-AB73-000003A8EDFF}" maximized="1" xWindow="1" yWindow="1" windowWidth="797" windowHeight="468" activeSheetId="1" showFormulaBar="0" showStatusbar="0"/>
    <customWorkbookView name="CHAP (CALCPLLE)" guid="{8096D781-774E-11D3-AB73-000003A8EDFF}" maximized="1" xWindow="1" yWindow="1" windowWidth="797" windowHeight="468" activeSheetId="1" showFormulaBar="0" showStatusbar="0"/>
    <customWorkbookView name="COMPA (CALCPLLE)" guid="{8096D782-774E-11D3-AB73-000003A8EDFF}" maximized="1" xWindow="1" yWindow="1" windowWidth="797" windowHeight="468" activeSheetId="1" showFormulaBar="0" showStatusbar="0"/>
    <customWorkbookView name="DIMEN (CALCPLLE)" guid="{8096D783-774E-11D3-AB73-000003A8EDFF}" maximized="1" xWindow="1" yWindow="1" windowWidth="997" windowHeight="699" activeSheetId="1" showFormulaBar="0" showStatusbar="0"/>
    <customWorkbookView name="EQUIV (CALCPLLE)" guid="{8096D784-774E-11D3-AB73-000003A8EDFF}" maximized="1" xWindow="1" yWindow="1" windowWidth="797" windowHeight="468" activeSheetId="1" showFormulaBar="0" showStatusbar="0"/>
    <customWorkbookView name="FLECH (CALCPLLE)" guid="{8096D785-774E-11D3-AB73-000003A8EDFF}" maximized="1" xWindow="1" yWindow="1" windowWidth="797" windowHeight="468" activeSheetId="1" showFormulaBar="0" showStatusbar="0"/>
    <customWorkbookView name="GEOME (CALCPLLE)" guid="{8096D786-774E-11D3-AB73-000003A8EDFF}" maximized="1" xWindow="1" yWindow="1" windowWidth="797" windowHeight="468" activeSheetId="1" showFormulaBar="0" showStatusbar="0"/>
    <customWorkbookView name="ITER (CALCPLLE)" guid="{8096D787-774E-11D3-AB73-000003A8EDFF}" maximized="1" xWindow="1" yWindow="1" windowWidth="797" windowHeight="468" activeSheetId="1" showFormulaBar="0" showStatusbar="0"/>
    <customWorkbookView name="MELS (CALCPLLE)" guid="{8096D788-774E-11D3-AB73-000003A8EDFF}" maximized="1" xWindow="1" yWindow="1" windowWidth="797" windowHeight="468" activeSheetId="1" showFormulaBar="0" showStatusbar="0"/>
    <customWorkbookView name="MELU (CALCPLLE)" guid="{8096D789-774E-11D3-AB73-000003A8EDFF}" maximized="1" xWindow="1" yWindow="1" windowWidth="797" windowHeight="468" activeSheetId="1" showFormulaBar="0" showStatusbar="0"/>
    <customWorkbookView name="MONTA (CALCPLLE)" guid="{8096D78A-774E-11D3-AB73-000003A8EDFF}" maximized="1" xWindow="1" yWindow="1" windowWidth="797" windowHeight="468" activeSheetId="1" showFormulaBar="0" showStatusbar="0"/>
    <customWorkbookView name="PRIX (CALCPLLE)" guid="{8096D78B-774E-11D3-AB73-000003A8EDFF}" maximized="1" xWindow="1" yWindow="1" windowWidth="797" windowHeight="549" activeSheetId="1" showFormulaBar="0" showStatusbar="0"/>
    <customWorkbookView name="PROVI (CALCPLLE)" guid="{8096D78C-774E-11D3-AB73-000003A8EDFF}" maximized="1" xWindow="1" yWindow="1" windowWidth="797" windowHeight="468" activeSheetId="1" showFormulaBar="0" showStatusbar="0"/>
    <customWorkbookView name="SOLLI (CALCPLLE)" guid="{8096D78D-774E-11D3-AB73-000003A8EDFF}" maximized="1" xWindow="1" yWindow="1" windowWidth="797" windowHeight="468" activeSheetId="1" showFormulaBar="0" showStatusbar="0"/>
    <customWorkbookView name="TRANCH (CALCPLLE)" guid="{8096D78E-774E-11D3-AB73-000003A8EDFF}" maximized="1" xWindow="1" yWindow="1" windowWidth="797" windowHeight="468" activeSheetId="1" showFormulaBar="0" showStatusbar="0"/>
  </customWorkbookViews>
</workbook>
</file>

<file path=xl/calcChain.xml><?xml version="1.0" encoding="utf-8"?>
<calcChain xmlns="http://schemas.openxmlformats.org/spreadsheetml/2006/main">
  <c r="AS32" i="35" l="1"/>
  <c r="BL63" i="35"/>
  <c r="BH17" i="35"/>
  <c r="BJ17" i="35" s="1"/>
  <c r="AS17" i="35"/>
  <c r="AY32" i="36"/>
  <c r="AX32" i="36"/>
  <c r="AZ32" i="36" s="1"/>
  <c r="AN24" i="36"/>
  <c r="AE32" i="36"/>
  <c r="AD32" i="36"/>
  <c r="AF32" i="36" s="1"/>
  <c r="L32" i="36"/>
  <c r="N32" i="36" s="1"/>
  <c r="M32" i="36"/>
  <c r="AN17" i="36"/>
  <c r="AF17" i="36"/>
  <c r="L17" i="36"/>
  <c r="K17" i="36"/>
  <c r="M17" i="36" s="1"/>
  <c r="L78" i="34"/>
  <c r="N78" i="34" s="1"/>
  <c r="M78" i="34"/>
  <c r="O78" i="34" s="1"/>
  <c r="AC63" i="34"/>
  <c r="AB63" i="34"/>
  <c r="X63" i="34"/>
  <c r="M63" i="34"/>
  <c r="O63" i="34" s="1"/>
  <c r="L63" i="34"/>
  <c r="N63" i="34" s="1"/>
  <c r="AK20" i="30" a="1"/>
  <c r="AK20" i="30" s="1"/>
  <c r="J82" i="33"/>
  <c r="J81" i="33"/>
  <c r="J80" i="33"/>
  <c r="J79" i="33"/>
  <c r="J76" i="33"/>
  <c r="J74" i="33"/>
  <c r="J73" i="33"/>
  <c r="J72" i="33"/>
  <c r="J71" i="33"/>
  <c r="J69" i="33"/>
  <c r="J68" i="33"/>
  <c r="J67" i="33"/>
  <c r="J66" i="33"/>
  <c r="F102" i="35"/>
  <c r="V114" i="35" s="1"/>
  <c r="F111" i="36"/>
  <c r="H99" i="36" s="1"/>
  <c r="F102" i="34"/>
  <c r="BB114" i="34" s="1"/>
  <c r="F102" i="33"/>
  <c r="F55" i="31"/>
  <c r="E45" i="36"/>
  <c r="Q25" i="30"/>
  <c r="E45" i="34"/>
  <c r="E91" i="34"/>
  <c r="E45" i="33"/>
  <c r="E91" i="33"/>
  <c r="R114" i="35" l="1"/>
  <c r="T114" i="35"/>
  <c r="X114" i="35"/>
  <c r="L102" i="35"/>
  <c r="N102" i="35"/>
  <c r="J102" i="35"/>
  <c r="H102" i="35"/>
  <c r="AL99" i="36"/>
  <c r="AH99" i="36"/>
  <c r="AF99" i="36"/>
  <c r="AD99" i="36"/>
  <c r="AB99" i="36"/>
  <c r="BL99" i="36"/>
  <c r="BJ99" i="36"/>
  <c r="T99" i="36"/>
  <c r="BF99" i="36"/>
  <c r="N99" i="36"/>
  <c r="AZ99" i="36"/>
  <c r="AX99" i="36"/>
  <c r="J99" i="36"/>
  <c r="AR99" i="36"/>
  <c r="AP99" i="36"/>
  <c r="AN99" i="36"/>
  <c r="X99" i="36"/>
  <c r="V99" i="36"/>
  <c r="BH99" i="36"/>
  <c r="R99" i="36"/>
  <c r="BB99" i="36"/>
  <c r="L99" i="36"/>
  <c r="AV99" i="36"/>
  <c r="BF114" i="34"/>
  <c r="BH114" i="34"/>
  <c r="BJ114" i="34"/>
  <c r="BL114" i="34"/>
  <c r="AV102" i="34"/>
  <c r="AX102" i="34"/>
  <c r="AZ102" i="34"/>
  <c r="BB102" i="34"/>
  <c r="BF102" i="34"/>
  <c r="AV114" i="34"/>
  <c r="BH102" i="34"/>
  <c r="AX114" i="34"/>
  <c r="BJ102" i="34"/>
  <c r="AZ114" i="34"/>
  <c r="BL102" i="34"/>
  <c r="AF4" i="30"/>
  <c r="T67" i="33"/>
  <c r="T68" i="33"/>
  <c r="T69" i="33"/>
  <c r="T71" i="33"/>
  <c r="T72" i="33"/>
  <c r="T73" i="33"/>
  <c r="T74" i="33"/>
  <c r="T76" i="33"/>
  <c r="T79" i="33"/>
  <c r="T80" i="33"/>
  <c r="T81" i="33"/>
  <c r="T82" i="33"/>
  <c r="T66" i="33"/>
  <c r="AD30" i="30"/>
  <c r="AC30" i="30"/>
  <c r="AE36" i="30"/>
  <c r="AE30" i="30"/>
  <c r="E45" i="31"/>
  <c r="BC23" i="36"/>
  <c r="BB22" i="36"/>
  <c r="BB23" i="36"/>
  <c r="BB25" i="36"/>
  <c r="BB21" i="36"/>
  <c r="AX23" i="36"/>
  <c r="AX25" i="36"/>
  <c r="AX26" i="36"/>
  <c r="AZ26" i="36" s="1"/>
  <c r="BB26" i="36" s="1"/>
  <c r="AX27" i="36"/>
  <c r="AZ27" i="36" s="1"/>
  <c r="BB27" i="36" s="1"/>
  <c r="AX28" i="36"/>
  <c r="AZ28" i="36" s="1"/>
  <c r="BB28" i="36" s="1"/>
  <c r="AX29" i="36"/>
  <c r="AZ29" i="36" s="1"/>
  <c r="BB29" i="36" s="1"/>
  <c r="AX30" i="36"/>
  <c r="AZ30" i="36" s="1"/>
  <c r="BB30" i="36" s="1"/>
  <c r="AX31" i="36"/>
  <c r="AZ31" i="36" s="1"/>
  <c r="BB31" i="36" s="1"/>
  <c r="AX33" i="36"/>
  <c r="AZ33" i="36" s="1"/>
  <c r="BB33" i="36" s="1"/>
  <c r="AX34" i="36"/>
  <c r="AZ34" i="36" s="1"/>
  <c r="BB34" i="36" s="1"/>
  <c r="AX35" i="36"/>
  <c r="AZ35" i="36" s="1"/>
  <c r="BB35" i="36" s="1"/>
  <c r="AX36" i="36"/>
  <c r="AZ36" i="36" s="1"/>
  <c r="BB36" i="36" s="1"/>
  <c r="AX37" i="36"/>
  <c r="AZ37" i="36" s="1"/>
  <c r="BB37" i="36" s="1"/>
  <c r="AX38" i="36"/>
  <c r="AX22" i="36"/>
  <c r="AY23" i="36"/>
  <c r="AY25" i="36"/>
  <c r="AY26" i="36"/>
  <c r="AY27" i="36"/>
  <c r="BA27" i="36" s="1"/>
  <c r="AY28" i="36"/>
  <c r="BA28" i="36" s="1"/>
  <c r="BC28" i="36" s="1"/>
  <c r="AY29" i="36"/>
  <c r="BA29" i="36" s="1"/>
  <c r="BC29" i="36" s="1"/>
  <c r="AY30" i="36"/>
  <c r="BA30" i="36" s="1"/>
  <c r="BC30" i="36" s="1"/>
  <c r="AY31" i="36"/>
  <c r="BA31" i="36" s="1"/>
  <c r="BC31" i="36" s="1"/>
  <c r="AY33" i="36"/>
  <c r="BA33" i="36" s="1"/>
  <c r="BC33" i="36" s="1"/>
  <c r="AY34" i="36"/>
  <c r="BA34" i="36" s="1"/>
  <c r="BC34" i="36" s="1"/>
  <c r="AY35" i="36"/>
  <c r="BA35" i="36" s="1"/>
  <c r="BC35" i="36" s="1"/>
  <c r="AY36" i="36"/>
  <c r="BA36" i="36" s="1"/>
  <c r="AY37" i="36"/>
  <c r="AY22" i="36"/>
  <c r="AN18" i="36"/>
  <c r="AN19" i="36"/>
  <c r="AN20" i="36"/>
  <c r="AN21" i="36"/>
  <c r="AN22" i="36"/>
  <c r="AN23" i="36"/>
  <c r="AN25" i="36"/>
  <c r="AN26" i="36"/>
  <c r="AN27" i="36"/>
  <c r="AN28" i="36"/>
  <c r="AN29" i="36"/>
  <c r="AN30" i="36"/>
  <c r="AN31" i="36"/>
  <c r="AN16" i="36"/>
  <c r="AH39" i="36"/>
  <c r="AG18" i="36"/>
  <c r="AF19" i="36"/>
  <c r="AH19" i="36" s="1"/>
  <c r="AF35" i="36"/>
  <c r="AH35" i="36" s="1"/>
  <c r="AF36" i="36"/>
  <c r="AH36" i="36" s="1"/>
  <c r="AF21" i="36"/>
  <c r="AH21" i="36" s="1"/>
  <c r="AF18" i="36"/>
  <c r="AF20" i="36"/>
  <c r="AH20" i="36" s="1"/>
  <c r="AE25" i="36"/>
  <c r="AG25" i="36" s="1"/>
  <c r="AI25" i="36" s="1"/>
  <c r="AE26" i="36"/>
  <c r="AG26" i="36" s="1"/>
  <c r="AI26" i="36" s="1"/>
  <c r="AE27" i="36"/>
  <c r="AG27" i="36" s="1"/>
  <c r="AI27" i="36" s="1"/>
  <c r="AE28" i="36"/>
  <c r="AG28" i="36" s="1"/>
  <c r="AI28" i="36" s="1"/>
  <c r="AE29" i="36"/>
  <c r="AG29" i="36" s="1"/>
  <c r="AI29" i="36" s="1"/>
  <c r="AE30" i="36"/>
  <c r="AG30" i="36" s="1"/>
  <c r="AI30" i="36" s="1"/>
  <c r="AE31" i="36"/>
  <c r="AE33" i="36"/>
  <c r="AG33" i="36" s="1"/>
  <c r="AI33" i="36" s="1"/>
  <c r="AE34" i="36"/>
  <c r="AG34" i="36" s="1"/>
  <c r="AI34" i="36" s="1"/>
  <c r="AE35" i="36"/>
  <c r="AG35" i="36" s="1"/>
  <c r="AI35" i="36" s="1"/>
  <c r="AE36" i="36"/>
  <c r="AG36" i="36" s="1"/>
  <c r="AI36" i="36" s="1"/>
  <c r="AE37" i="36"/>
  <c r="AG37" i="36" s="1"/>
  <c r="AI37" i="36" s="1"/>
  <c r="AE19" i="36"/>
  <c r="AG19" i="36" s="1"/>
  <c r="AE20" i="36"/>
  <c r="AG20" i="36" s="1"/>
  <c r="AE21" i="36"/>
  <c r="AG21" i="36" s="1"/>
  <c r="AI21" i="36" s="1"/>
  <c r="AE22" i="36"/>
  <c r="AG22" i="36" s="1"/>
  <c r="AI22" i="36" s="1"/>
  <c r="AD22" i="36"/>
  <c r="AF22" i="36" s="1"/>
  <c r="AH22" i="36" s="1"/>
  <c r="AE23" i="36"/>
  <c r="AG23" i="36" s="1"/>
  <c r="AI23" i="36" s="1"/>
  <c r="AD23" i="36"/>
  <c r="AF23" i="36" s="1"/>
  <c r="AH23" i="36" s="1"/>
  <c r="AD25" i="36"/>
  <c r="AF25" i="36" s="1"/>
  <c r="AH25" i="36" s="1"/>
  <c r="AD26" i="36"/>
  <c r="AF26" i="36" s="1"/>
  <c r="AH26" i="36" s="1"/>
  <c r="AD27" i="36"/>
  <c r="AF27" i="36" s="1"/>
  <c r="AH27" i="36" s="1"/>
  <c r="AD28" i="36"/>
  <c r="AF28" i="36" s="1"/>
  <c r="AH28" i="36" s="1"/>
  <c r="AD29" i="36"/>
  <c r="AF29" i="36" s="1"/>
  <c r="AH29" i="36" s="1"/>
  <c r="AD30" i="36"/>
  <c r="AF30" i="36" s="1"/>
  <c r="AH30" i="36" s="1"/>
  <c r="AD31" i="36"/>
  <c r="AF31" i="36" s="1"/>
  <c r="AD33" i="36"/>
  <c r="AF33" i="36" s="1"/>
  <c r="AH33" i="36" s="1"/>
  <c r="AD34" i="36"/>
  <c r="AF34" i="36" s="1"/>
  <c r="AH34" i="36" s="1"/>
  <c r="AD37" i="36"/>
  <c r="AF37" i="36" s="1"/>
  <c r="AD38" i="36"/>
  <c r="AD39" i="36"/>
  <c r="L18" i="36"/>
  <c r="L19" i="36"/>
  <c r="L20" i="36"/>
  <c r="L21" i="36"/>
  <c r="N21" i="36" s="1"/>
  <c r="L22" i="36"/>
  <c r="N22" i="36" s="1"/>
  <c r="L23" i="36"/>
  <c r="N23" i="36" s="1"/>
  <c r="L25" i="36"/>
  <c r="N25" i="36" s="1"/>
  <c r="L26" i="36"/>
  <c r="N26" i="36" s="1"/>
  <c r="L27" i="36"/>
  <c r="N27" i="36" s="1"/>
  <c r="L28" i="36"/>
  <c r="N28" i="36" s="1"/>
  <c r="L29" i="36"/>
  <c r="N29" i="36" s="1"/>
  <c r="L30" i="36"/>
  <c r="N30" i="36" s="1"/>
  <c r="L31" i="36"/>
  <c r="N31" i="36" s="1"/>
  <c r="L33" i="36"/>
  <c r="L34" i="36"/>
  <c r="L35" i="36"/>
  <c r="L36" i="36"/>
  <c r="L37" i="36"/>
  <c r="L38" i="36"/>
  <c r="L39" i="36"/>
  <c r="K18" i="36"/>
  <c r="M18" i="36" s="1"/>
  <c r="O18" i="36" s="1"/>
  <c r="K19" i="36"/>
  <c r="M19" i="36" s="1"/>
  <c r="O19" i="36" s="1"/>
  <c r="K20" i="36"/>
  <c r="M20" i="36" s="1"/>
  <c r="O20" i="36" s="1"/>
  <c r="K21" i="36"/>
  <c r="M21" i="36" s="1"/>
  <c r="O21" i="36" s="1"/>
  <c r="K22" i="36"/>
  <c r="M22" i="36" s="1"/>
  <c r="O22" i="36" s="1"/>
  <c r="K23" i="36"/>
  <c r="M23" i="36" s="1"/>
  <c r="O23" i="36" s="1"/>
  <c r="K25" i="36"/>
  <c r="M25" i="36" s="1"/>
  <c r="O25" i="36" s="1"/>
  <c r="K26" i="36"/>
  <c r="M26" i="36" s="1"/>
  <c r="O26" i="36" s="1"/>
  <c r="K27" i="36"/>
  <c r="M27" i="36" s="1"/>
  <c r="O27" i="36" s="1"/>
  <c r="K28" i="36"/>
  <c r="M28" i="36" s="1"/>
  <c r="O28" i="36" s="1"/>
  <c r="K29" i="36"/>
  <c r="M29" i="36" s="1"/>
  <c r="O29" i="36" s="1"/>
  <c r="K30" i="36"/>
  <c r="M30" i="36" s="1"/>
  <c r="O30" i="36" s="1"/>
  <c r="K31" i="36"/>
  <c r="M31" i="36" s="1"/>
  <c r="O31" i="36" s="1"/>
  <c r="K33" i="36"/>
  <c r="M33" i="36" s="1"/>
  <c r="O33" i="36" s="1"/>
  <c r="K34" i="36"/>
  <c r="M34" i="36" s="1"/>
  <c r="O34" i="36" s="1"/>
  <c r="K35" i="36"/>
  <c r="M35" i="36" s="1"/>
  <c r="O35" i="36" s="1"/>
  <c r="K36" i="36"/>
  <c r="M36" i="36" s="1"/>
  <c r="O36" i="36" s="1"/>
  <c r="K37" i="36"/>
  <c r="M37" i="36" s="1"/>
  <c r="O37" i="36" s="1"/>
  <c r="K38" i="36"/>
  <c r="M38" i="36" s="1"/>
  <c r="O38" i="36" s="1"/>
  <c r="K39" i="36"/>
  <c r="M39" i="36" s="1"/>
  <c r="O39" i="36" s="1"/>
  <c r="U117" i="35" l="1"/>
  <c r="U120" i="35" s="1"/>
  <c r="K105" i="35"/>
  <c r="BI117" i="34"/>
  <c r="W117" i="34" s="1"/>
  <c r="AY105" i="34"/>
  <c r="BI105" i="34"/>
  <c r="AY117" i="34"/>
  <c r="M117" i="34" s="1"/>
  <c r="G88" i="36"/>
  <c r="AK86" i="36"/>
  <c r="AO88" i="36" s="1"/>
  <c r="AA86" i="36"/>
  <c r="AE89" i="36" s="1"/>
  <c r="Q86" i="36"/>
  <c r="U89" i="36" s="1"/>
  <c r="G86" i="36"/>
  <c r="K89" i="36" s="1"/>
  <c r="G85" i="36"/>
  <c r="G46" i="36"/>
  <c r="AA44" i="36"/>
  <c r="Q44" i="36"/>
  <c r="G44" i="36"/>
  <c r="E91" i="35"/>
  <c r="B90" i="35" s="1"/>
  <c r="AH36" i="30" s="1"/>
  <c r="Q37" i="30"/>
  <c r="E45" i="35"/>
  <c r="AD36" i="30"/>
  <c r="G92" i="35"/>
  <c r="G46" i="35"/>
  <c r="BL64" i="35"/>
  <c r="BL65" i="35"/>
  <c r="BL71" i="35"/>
  <c r="BL75" i="35"/>
  <c r="BL76" i="35"/>
  <c r="BL77" i="35"/>
  <c r="BL80" i="35"/>
  <c r="BL81" i="35"/>
  <c r="BL82" i="35"/>
  <c r="BL83" i="35"/>
  <c r="BL84" i="35"/>
  <c r="BL85" i="35"/>
  <c r="BL62" i="35"/>
  <c r="BH18" i="35"/>
  <c r="BJ18" i="35" s="1"/>
  <c r="AS18" i="35"/>
  <c r="AS19" i="35"/>
  <c r="AS20" i="35"/>
  <c r="AS21" i="35"/>
  <c r="AS22" i="35"/>
  <c r="AS23" i="35"/>
  <c r="AS25" i="35"/>
  <c r="AS26" i="35"/>
  <c r="AS27" i="35"/>
  <c r="AS28" i="35"/>
  <c r="AS29" i="35"/>
  <c r="AS30" i="35"/>
  <c r="AS31" i="35"/>
  <c r="AS33" i="35"/>
  <c r="AS34" i="35"/>
  <c r="AS35" i="35"/>
  <c r="AS36" i="35"/>
  <c r="AS37" i="35"/>
  <c r="AS38" i="35"/>
  <c r="AS39" i="35"/>
  <c r="AK90" i="35"/>
  <c r="AA90" i="35"/>
  <c r="Q90" i="35"/>
  <c r="U91" i="35" s="1"/>
  <c r="G90" i="35"/>
  <c r="K92" i="35" s="1"/>
  <c r="G89" i="35"/>
  <c r="AA44" i="35"/>
  <c r="Q44" i="35"/>
  <c r="U46" i="35" s="1"/>
  <c r="G44" i="35"/>
  <c r="AH37" i="35"/>
  <c r="AG37" i="35"/>
  <c r="AF37" i="35"/>
  <c r="AD37" i="35"/>
  <c r="AC37" i="35"/>
  <c r="AB37" i="35"/>
  <c r="AI29" i="35"/>
  <c r="AH29" i="35"/>
  <c r="AF29" i="35"/>
  <c r="AE29" i="35"/>
  <c r="AR72" i="34"/>
  <c r="AS72" i="34"/>
  <c r="AR73" i="34"/>
  <c r="AS73" i="34"/>
  <c r="AR74" i="34"/>
  <c r="AS74" i="34"/>
  <c r="AR75" i="34"/>
  <c r="AS75" i="34"/>
  <c r="AR76" i="34"/>
  <c r="AS76" i="34"/>
  <c r="AR77" i="34"/>
  <c r="AS77" i="34"/>
  <c r="AR79" i="34"/>
  <c r="AS79" i="34"/>
  <c r="AR80" i="34"/>
  <c r="AS80" i="34"/>
  <c r="AR81" i="34"/>
  <c r="AS81" i="34"/>
  <c r="AR82" i="34"/>
  <c r="AS82" i="34"/>
  <c r="AR83" i="34"/>
  <c r="AS83" i="34"/>
  <c r="AR84" i="34"/>
  <c r="AS84" i="34"/>
  <c r="AR85" i="34"/>
  <c r="AS85" i="34"/>
  <c r="AR71" i="34"/>
  <c r="AF64" i="34"/>
  <c r="AD64" i="34" s="1"/>
  <c r="AB64" i="34" s="1"/>
  <c r="AG64" i="34"/>
  <c r="AE64" i="34" s="1"/>
  <c r="AC64" i="34" s="1"/>
  <c r="AF65" i="34"/>
  <c r="AD65" i="34" s="1"/>
  <c r="AB65" i="34" s="1"/>
  <c r="AG65" i="34"/>
  <c r="AE65" i="34" s="1"/>
  <c r="AC65" i="34" s="1"/>
  <c r="AF66" i="34"/>
  <c r="AD66" i="34" s="1"/>
  <c r="AB66" i="34" s="1"/>
  <c r="AG66" i="34"/>
  <c r="AE66" i="34" s="1"/>
  <c r="AC66" i="34" s="1"/>
  <c r="AF67" i="34"/>
  <c r="AD67" i="34" s="1"/>
  <c r="AB67" i="34" s="1"/>
  <c r="AG67" i="34"/>
  <c r="AE67" i="34" s="1"/>
  <c r="AC67" i="34" s="1"/>
  <c r="AF68" i="34"/>
  <c r="AD68" i="34" s="1"/>
  <c r="AB68" i="34" s="1"/>
  <c r="AG68" i="34"/>
  <c r="AE68" i="34" s="1"/>
  <c r="AC68" i="34" s="1"/>
  <c r="AF69" i="34"/>
  <c r="AD69" i="34" s="1"/>
  <c r="AB69" i="34" s="1"/>
  <c r="AG69" i="34"/>
  <c r="AE69" i="34" s="1"/>
  <c r="AC69" i="34" s="1"/>
  <c r="AF71" i="34"/>
  <c r="AD71" i="34" s="1"/>
  <c r="AB71" i="34" s="1"/>
  <c r="AG71" i="34"/>
  <c r="AE71" i="34" s="1"/>
  <c r="AF72" i="34"/>
  <c r="AD72" i="34" s="1"/>
  <c r="AB72" i="34" s="1"/>
  <c r="AG72" i="34"/>
  <c r="AE72" i="34" s="1"/>
  <c r="AC72" i="34" s="1"/>
  <c r="AF73" i="34"/>
  <c r="AD73" i="34" s="1"/>
  <c r="AB73" i="34" s="1"/>
  <c r="AG73" i="34"/>
  <c r="AE73" i="34" s="1"/>
  <c r="AC73" i="34" s="1"/>
  <c r="AF74" i="34"/>
  <c r="AD74" i="34" s="1"/>
  <c r="AB74" i="34" s="1"/>
  <c r="AG74" i="34"/>
  <c r="AE74" i="34" s="1"/>
  <c r="AC74" i="34" s="1"/>
  <c r="AF75" i="34"/>
  <c r="AD75" i="34" s="1"/>
  <c r="AB75" i="34" s="1"/>
  <c r="AG75" i="34"/>
  <c r="AE75" i="34" s="1"/>
  <c r="AC75" i="34" s="1"/>
  <c r="AF76" i="34"/>
  <c r="AD76" i="34" s="1"/>
  <c r="AB76" i="34" s="1"/>
  <c r="AG76" i="34"/>
  <c r="AE76" i="34" s="1"/>
  <c r="AC76" i="34" s="1"/>
  <c r="AF77" i="34"/>
  <c r="AD77" i="34" s="1"/>
  <c r="AB77" i="34" s="1"/>
  <c r="AG77" i="34"/>
  <c r="AE77" i="34" s="1"/>
  <c r="AC77" i="34" s="1"/>
  <c r="AF79" i="34"/>
  <c r="AD79" i="34" s="1"/>
  <c r="AB79" i="34" s="1"/>
  <c r="AG79" i="34"/>
  <c r="AE79" i="34" s="1"/>
  <c r="AC79" i="34" s="1"/>
  <c r="AF80" i="34"/>
  <c r="AD80" i="34" s="1"/>
  <c r="AB80" i="34" s="1"/>
  <c r="AG80" i="34"/>
  <c r="AE80" i="34" s="1"/>
  <c r="AC80" i="34" s="1"/>
  <c r="AF81" i="34"/>
  <c r="AD81" i="34" s="1"/>
  <c r="AB81" i="34" s="1"/>
  <c r="AG81" i="34"/>
  <c r="AE81" i="34" s="1"/>
  <c r="AC81" i="34" s="1"/>
  <c r="AF82" i="34"/>
  <c r="AD82" i="34" s="1"/>
  <c r="AB82" i="34" s="1"/>
  <c r="AG82" i="34"/>
  <c r="AE82" i="34" s="1"/>
  <c r="AC82" i="34" s="1"/>
  <c r="AF83" i="34"/>
  <c r="AD83" i="34" s="1"/>
  <c r="AB83" i="34" s="1"/>
  <c r="AG83" i="34"/>
  <c r="AE83" i="34" s="1"/>
  <c r="AC83" i="34" s="1"/>
  <c r="AF84" i="34"/>
  <c r="AD84" i="34" s="1"/>
  <c r="AB84" i="34" s="1"/>
  <c r="AG84" i="34"/>
  <c r="AE84" i="34" s="1"/>
  <c r="AC84" i="34" s="1"/>
  <c r="AF85" i="34"/>
  <c r="AD85" i="34" s="1"/>
  <c r="AB85" i="34" s="1"/>
  <c r="AG85" i="34"/>
  <c r="AE85" i="34" s="1"/>
  <c r="AC85" i="34" s="1"/>
  <c r="Y65" i="34"/>
  <c r="Y66" i="34"/>
  <c r="Y67" i="34"/>
  <c r="Y68" i="34"/>
  <c r="Y69" i="34"/>
  <c r="Y71" i="34"/>
  <c r="Y72" i="34"/>
  <c r="Y73" i="34"/>
  <c r="Y74" i="34"/>
  <c r="Y75" i="34"/>
  <c r="Y76" i="34"/>
  <c r="Y77" i="34"/>
  <c r="Y79" i="34"/>
  <c r="Y80" i="34"/>
  <c r="Y81" i="34"/>
  <c r="Y82" i="34"/>
  <c r="Y83" i="34"/>
  <c r="Y84" i="34"/>
  <c r="Y85" i="34"/>
  <c r="Y64" i="34"/>
  <c r="X64" i="34"/>
  <c r="X65" i="34"/>
  <c r="X66" i="34"/>
  <c r="X67" i="34"/>
  <c r="X68" i="34"/>
  <c r="X69" i="34"/>
  <c r="X71" i="34"/>
  <c r="X72" i="34"/>
  <c r="X73" i="34"/>
  <c r="X74" i="34"/>
  <c r="X75" i="34"/>
  <c r="X76" i="34"/>
  <c r="X77" i="34"/>
  <c r="X79" i="34"/>
  <c r="X80" i="34"/>
  <c r="X81" i="34"/>
  <c r="X82" i="34"/>
  <c r="X83" i="34"/>
  <c r="X84" i="34"/>
  <c r="X85" i="34"/>
  <c r="L64" i="34"/>
  <c r="N64" i="34" s="1"/>
  <c r="M64" i="34"/>
  <c r="O64" i="34" s="1"/>
  <c r="L65" i="34"/>
  <c r="N65" i="34" s="1"/>
  <c r="M65" i="34"/>
  <c r="O65" i="34" s="1"/>
  <c r="L66" i="34"/>
  <c r="N66" i="34" s="1"/>
  <c r="M66" i="34"/>
  <c r="O66" i="34" s="1"/>
  <c r="L67" i="34"/>
  <c r="N67" i="34" s="1"/>
  <c r="M67" i="34"/>
  <c r="O67" i="34" s="1"/>
  <c r="L68" i="34"/>
  <c r="N68" i="34" s="1"/>
  <c r="M68" i="34"/>
  <c r="O68" i="34" s="1"/>
  <c r="L69" i="34"/>
  <c r="N69" i="34" s="1"/>
  <c r="M69" i="34"/>
  <c r="O69" i="34" s="1"/>
  <c r="L71" i="34"/>
  <c r="N71" i="34" s="1"/>
  <c r="M71" i="34"/>
  <c r="O71" i="34" s="1"/>
  <c r="L72" i="34"/>
  <c r="N72" i="34" s="1"/>
  <c r="M72" i="34"/>
  <c r="O72" i="34" s="1"/>
  <c r="L73" i="34"/>
  <c r="N73" i="34" s="1"/>
  <c r="M73" i="34"/>
  <c r="O73" i="34" s="1"/>
  <c r="L74" i="34"/>
  <c r="N74" i="34" s="1"/>
  <c r="M74" i="34"/>
  <c r="O74" i="34" s="1"/>
  <c r="L75" i="34"/>
  <c r="N75" i="34" s="1"/>
  <c r="M75" i="34"/>
  <c r="O75" i="34" s="1"/>
  <c r="L76" i="34"/>
  <c r="N76" i="34" s="1"/>
  <c r="M76" i="34"/>
  <c r="O76" i="34" s="1"/>
  <c r="L77" i="34"/>
  <c r="N77" i="34" s="1"/>
  <c r="M77" i="34"/>
  <c r="O77" i="34" s="1"/>
  <c r="L79" i="34"/>
  <c r="N79" i="34" s="1"/>
  <c r="M79" i="34"/>
  <c r="O79" i="34" s="1"/>
  <c r="L80" i="34"/>
  <c r="N80" i="34" s="1"/>
  <c r="M80" i="34"/>
  <c r="O80" i="34" s="1"/>
  <c r="L81" i="34"/>
  <c r="N81" i="34" s="1"/>
  <c r="M81" i="34"/>
  <c r="O81" i="34" s="1"/>
  <c r="L82" i="34"/>
  <c r="N82" i="34" s="1"/>
  <c r="M82" i="34"/>
  <c r="O82" i="34" s="1"/>
  <c r="L83" i="34"/>
  <c r="N83" i="34" s="1"/>
  <c r="M83" i="34"/>
  <c r="O83" i="34" s="1"/>
  <c r="L84" i="34"/>
  <c r="N84" i="34" s="1"/>
  <c r="M84" i="34"/>
  <c r="O84" i="34" s="1"/>
  <c r="L85" i="34"/>
  <c r="N85" i="34" s="1"/>
  <c r="M85" i="34"/>
  <c r="O85" i="34" s="1"/>
  <c r="G90" i="34"/>
  <c r="Q90" i="34"/>
  <c r="AA90" i="34"/>
  <c r="AK90" i="34"/>
  <c r="Q90" i="33"/>
  <c r="G90" i="33"/>
  <c r="AA90" i="33"/>
  <c r="AK90" i="33"/>
  <c r="G92" i="33"/>
  <c r="G89" i="33"/>
  <c r="G46" i="34"/>
  <c r="AA44" i="34"/>
  <c r="Q44" i="34"/>
  <c r="G44" i="34"/>
  <c r="AD37" i="34"/>
  <c r="AC37" i="33"/>
  <c r="AD37" i="33"/>
  <c r="AF37" i="33"/>
  <c r="AG37" i="33"/>
  <c r="AH37" i="33"/>
  <c r="AB37" i="33"/>
  <c r="AE29" i="33"/>
  <c r="AF29" i="33"/>
  <c r="AH29" i="33"/>
  <c r="AI29" i="33"/>
  <c r="AU44" i="31"/>
  <c r="AK44" i="31"/>
  <c r="B44" i="35" l="1"/>
  <c r="AH30" i="30" s="1"/>
  <c r="K47" i="35"/>
  <c r="K46" i="35"/>
  <c r="U93" i="34"/>
  <c r="U92" i="34"/>
  <c r="U47" i="36"/>
  <c r="U46" i="36"/>
  <c r="K91" i="34"/>
  <c r="K93" i="34"/>
  <c r="K92" i="34"/>
  <c r="AE46" i="35"/>
  <c r="AE47" i="35"/>
  <c r="AE45" i="36"/>
  <c r="AE46" i="36"/>
  <c r="AE47" i="36"/>
  <c r="K47" i="36"/>
  <c r="K46" i="36"/>
  <c r="AE93" i="34"/>
  <c r="AE92" i="34"/>
  <c r="K47" i="34"/>
  <c r="K46" i="34"/>
  <c r="U47" i="34"/>
  <c r="U46" i="34"/>
  <c r="H47" i="34" s="1"/>
  <c r="AE92" i="35"/>
  <c r="H94" i="35" s="1"/>
  <c r="AE93" i="35"/>
  <c r="AE47" i="34"/>
  <c r="AE46" i="34"/>
  <c r="AO93" i="34"/>
  <c r="AO92" i="34"/>
  <c r="AO93" i="35"/>
  <c r="AO92" i="35"/>
  <c r="AO91" i="33"/>
  <c r="AO93" i="33"/>
  <c r="AO92" i="33"/>
  <c r="AE93" i="33"/>
  <c r="AE92" i="33"/>
  <c r="K92" i="33"/>
  <c r="K93" i="33"/>
  <c r="U91" i="33"/>
  <c r="U93" i="33"/>
  <c r="U92" i="33"/>
  <c r="AO47" i="31"/>
  <c r="AO46" i="31"/>
  <c r="AY47" i="31"/>
  <c r="AY46" i="31"/>
  <c r="U119" i="35"/>
  <c r="G45" i="36"/>
  <c r="AF30" i="30" s="1"/>
  <c r="W119" i="34"/>
  <c r="W120" i="34"/>
  <c r="M120" i="34"/>
  <c r="M119" i="34"/>
  <c r="W105" i="34"/>
  <c r="M105" i="34"/>
  <c r="M107" i="34" s="1"/>
  <c r="G45" i="35"/>
  <c r="AG30" i="30" s="1"/>
  <c r="G91" i="35"/>
  <c r="AG36" i="30" s="1"/>
  <c r="AO87" i="36"/>
  <c r="AO89" i="36"/>
  <c r="I90" i="36" s="1"/>
  <c r="I89" i="36"/>
  <c r="AK44" i="36"/>
  <c r="K88" i="36"/>
  <c r="AU86" i="36"/>
  <c r="AY87" i="36" s="1"/>
  <c r="K87" i="36"/>
  <c r="U88" i="36"/>
  <c r="U87" i="36"/>
  <c r="AE88" i="36"/>
  <c r="H90" i="36" s="1"/>
  <c r="K45" i="36"/>
  <c r="AE87" i="36"/>
  <c r="U45" i="36"/>
  <c r="AE91" i="35"/>
  <c r="K45" i="35"/>
  <c r="K91" i="35"/>
  <c r="AO91" i="35"/>
  <c r="AK44" i="35"/>
  <c r="U47" i="35"/>
  <c r="AU90" i="35"/>
  <c r="U93" i="35"/>
  <c r="U45" i="35"/>
  <c r="AE45" i="35"/>
  <c r="K93" i="35"/>
  <c r="U92" i="35"/>
  <c r="H47" i="35"/>
  <c r="G92" i="34"/>
  <c r="K91" i="33"/>
  <c r="AE91" i="33"/>
  <c r="AE91" i="34"/>
  <c r="U91" i="34"/>
  <c r="AE45" i="34"/>
  <c r="K45" i="34"/>
  <c r="U45" i="34"/>
  <c r="AK44" i="34"/>
  <c r="AY45" i="31"/>
  <c r="BE44" i="31"/>
  <c r="G46" i="33"/>
  <c r="AA44" i="33"/>
  <c r="Q44" i="33"/>
  <c r="G44" i="33"/>
  <c r="H93" i="34" l="1"/>
  <c r="I47" i="36"/>
  <c r="I47" i="35"/>
  <c r="AO47" i="34"/>
  <c r="I48" i="34" s="1"/>
  <c r="AO46" i="34"/>
  <c r="AY92" i="35"/>
  <c r="AY93" i="35"/>
  <c r="AO46" i="36"/>
  <c r="H48" i="36" s="1"/>
  <c r="AO47" i="36"/>
  <c r="I48" i="36" s="1"/>
  <c r="H48" i="35"/>
  <c r="AO47" i="35"/>
  <c r="AO46" i="35"/>
  <c r="K46" i="33"/>
  <c r="K47" i="33"/>
  <c r="U47" i="33"/>
  <c r="U46" i="33"/>
  <c r="AE46" i="33"/>
  <c r="AE47" i="33"/>
  <c r="BI47" i="31"/>
  <c r="BI46" i="31"/>
  <c r="M108" i="34"/>
  <c r="W108" i="34"/>
  <c r="W107" i="34"/>
  <c r="H89" i="36"/>
  <c r="AY89" i="36"/>
  <c r="H47" i="36"/>
  <c r="BE86" i="36"/>
  <c r="AY88" i="36"/>
  <c r="AO45" i="36"/>
  <c r="AU44" i="36"/>
  <c r="I93" i="34"/>
  <c r="I94" i="35"/>
  <c r="BE90" i="35"/>
  <c r="AY91" i="35"/>
  <c r="I47" i="34"/>
  <c r="AU44" i="35"/>
  <c r="AO45" i="35"/>
  <c r="I48" i="35"/>
  <c r="H93" i="33"/>
  <c r="I93" i="33"/>
  <c r="H94" i="34"/>
  <c r="AO91" i="34"/>
  <c r="I94" i="34"/>
  <c r="AU90" i="33"/>
  <c r="I94" i="33"/>
  <c r="H94" i="33"/>
  <c r="AO45" i="34"/>
  <c r="U45" i="33"/>
  <c r="BI45" i="31"/>
  <c r="AE45" i="33"/>
  <c r="AK44" i="33"/>
  <c r="K45" i="33"/>
  <c r="AA44" i="31"/>
  <c r="G46" i="31"/>
  <c r="T12" i="30"/>
  <c r="AD22" i="30"/>
  <c r="AF17" i="30"/>
  <c r="AY47" i="36" l="1"/>
  <c r="AY46" i="36"/>
  <c r="AY46" i="35"/>
  <c r="AY47" i="35"/>
  <c r="BI93" i="35"/>
  <c r="BI92" i="35"/>
  <c r="AO47" i="33"/>
  <c r="I48" i="33" s="1"/>
  <c r="AO46" i="33"/>
  <c r="H48" i="33" s="1"/>
  <c r="AY91" i="33"/>
  <c r="AY92" i="33"/>
  <c r="AY93" i="33"/>
  <c r="AE47" i="31"/>
  <c r="I48" i="31" s="1"/>
  <c r="AE46" i="31"/>
  <c r="H48" i="31" s="1"/>
  <c r="G52" i="34"/>
  <c r="AE29" i="30" s="1"/>
  <c r="G98" i="34"/>
  <c r="AE35" i="30" s="1"/>
  <c r="G97" i="34"/>
  <c r="AE34" i="30" s="1"/>
  <c r="BI89" i="36"/>
  <c r="I91" i="36" s="1"/>
  <c r="BI87" i="36"/>
  <c r="BI88" i="36"/>
  <c r="H91" i="36" s="1"/>
  <c r="BE44" i="36"/>
  <c r="AY45" i="36"/>
  <c r="H47" i="33"/>
  <c r="I47" i="33"/>
  <c r="AY45" i="35"/>
  <c r="BE44" i="35"/>
  <c r="BI91" i="35"/>
  <c r="I95" i="35"/>
  <c r="H95" i="35"/>
  <c r="H48" i="34"/>
  <c r="I49" i="31"/>
  <c r="H49" i="31"/>
  <c r="BE90" i="33"/>
  <c r="AU44" i="33"/>
  <c r="AO45" i="33"/>
  <c r="AE45" i="31"/>
  <c r="AF15" i="30"/>
  <c r="AF16" i="30"/>
  <c r="G32" i="30"/>
  <c r="Q44" i="31"/>
  <c r="G44" i="31"/>
  <c r="AD15" i="30"/>
  <c r="BI47" i="36" l="1"/>
  <c r="BI46" i="36"/>
  <c r="BI47" i="35"/>
  <c r="BI46" i="35"/>
  <c r="BI91" i="33"/>
  <c r="BI93" i="33"/>
  <c r="BI92" i="33"/>
  <c r="AY46" i="33"/>
  <c r="AY47" i="33"/>
  <c r="U45" i="31"/>
  <c r="U46" i="31"/>
  <c r="U47" i="31"/>
  <c r="K47" i="31"/>
  <c r="K46" i="31"/>
  <c r="G97" i="35"/>
  <c r="G98" i="35"/>
  <c r="G51" i="34"/>
  <c r="AE28" i="30" s="1"/>
  <c r="Q43" i="36"/>
  <c r="G43" i="36"/>
  <c r="AA85" i="36"/>
  <c r="AA43" i="36"/>
  <c r="AK85" i="36"/>
  <c r="AU85" i="36" s="1"/>
  <c r="BE85" i="36" s="1"/>
  <c r="AK43" i="36"/>
  <c r="AU43" i="36" s="1"/>
  <c r="BE43" i="36" s="1"/>
  <c r="Q85" i="36"/>
  <c r="BE84" i="36"/>
  <c r="BE42" i="36"/>
  <c r="Q42" i="36"/>
  <c r="AK84" i="36"/>
  <c r="AU84" i="36"/>
  <c r="AA42" i="36"/>
  <c r="G84" i="36"/>
  <c r="AU42" i="36"/>
  <c r="Q84" i="36"/>
  <c r="AK42" i="36"/>
  <c r="AA84" i="36"/>
  <c r="G42" i="36"/>
  <c r="H49" i="36"/>
  <c r="I49" i="36"/>
  <c r="BI45" i="36"/>
  <c r="H49" i="35"/>
  <c r="I49" i="35"/>
  <c r="BI45" i="35"/>
  <c r="AA88" i="35"/>
  <c r="AA42" i="35"/>
  <c r="AK42" i="35"/>
  <c r="BE88" i="35"/>
  <c r="Q88" i="35"/>
  <c r="BE42" i="35"/>
  <c r="Q42" i="35"/>
  <c r="AK88" i="35"/>
  <c r="AU88" i="35"/>
  <c r="G88" i="35"/>
  <c r="AU42" i="35"/>
  <c r="G42" i="35"/>
  <c r="AK43" i="35"/>
  <c r="AU43" i="35" s="1"/>
  <c r="BE43" i="35" s="1"/>
  <c r="AA43" i="35"/>
  <c r="AA89" i="35"/>
  <c r="Q43" i="35"/>
  <c r="AK89" i="35"/>
  <c r="AU89" i="35" s="1"/>
  <c r="BE89" i="35" s="1"/>
  <c r="Q89" i="35"/>
  <c r="G43" i="35"/>
  <c r="AA89" i="34"/>
  <c r="Q89" i="34"/>
  <c r="G89" i="34"/>
  <c r="AK89" i="34"/>
  <c r="G88" i="34"/>
  <c r="AK88" i="34"/>
  <c r="AA88" i="34"/>
  <c r="Q88" i="34"/>
  <c r="AA89" i="33"/>
  <c r="Q89" i="33"/>
  <c r="AU88" i="33"/>
  <c r="AK88" i="33"/>
  <c r="Q88" i="33"/>
  <c r="AA88" i="33"/>
  <c r="G88" i="33"/>
  <c r="BE88" i="33"/>
  <c r="AK89" i="33"/>
  <c r="AU89" i="33" s="1"/>
  <c r="BE89" i="33" s="1"/>
  <c r="AA42" i="34"/>
  <c r="AK42" i="34"/>
  <c r="Q42" i="34"/>
  <c r="G42" i="34"/>
  <c r="AK43" i="34"/>
  <c r="G43" i="34"/>
  <c r="AA43" i="34"/>
  <c r="Q43" i="34"/>
  <c r="BE42" i="33"/>
  <c r="AU42" i="33"/>
  <c r="AY45" i="33"/>
  <c r="BE44" i="33"/>
  <c r="BE42" i="31"/>
  <c r="AU42" i="31"/>
  <c r="AK42" i="33"/>
  <c r="AA42" i="33"/>
  <c r="Q42" i="33"/>
  <c r="G42" i="33"/>
  <c r="Q43" i="31"/>
  <c r="AA43" i="33"/>
  <c r="G43" i="33"/>
  <c r="AK43" i="33"/>
  <c r="AU43" i="33" s="1"/>
  <c r="BE43" i="33" s="1"/>
  <c r="Q43" i="33"/>
  <c r="AO45" i="31"/>
  <c r="AA42" i="31"/>
  <c r="AK42" i="31"/>
  <c r="G43" i="31"/>
  <c r="AK43" i="31"/>
  <c r="AU43" i="31" s="1"/>
  <c r="BE43" i="31" s="1"/>
  <c r="AA43" i="31"/>
  <c r="K45" i="31"/>
  <c r="Q42" i="31"/>
  <c r="G42" i="31"/>
  <c r="AG35" i="30" l="1"/>
  <c r="AH35" i="30"/>
  <c r="AG34" i="30"/>
  <c r="AH34" i="30"/>
  <c r="AC42" i="36"/>
  <c r="AB42" i="36"/>
  <c r="BI88" i="35"/>
  <c r="BH88" i="35"/>
  <c r="BJ88" i="35"/>
  <c r="BG88" i="35"/>
  <c r="BF88" i="35"/>
  <c r="BM88" i="35"/>
  <c r="BL88" i="35"/>
  <c r="BK88" i="35"/>
  <c r="T42" i="36"/>
  <c r="S42" i="36"/>
  <c r="W42" i="36"/>
  <c r="U42" i="36"/>
  <c r="R42" i="36"/>
  <c r="X42" i="36"/>
  <c r="V42" i="36"/>
  <c r="AD88" i="34"/>
  <c r="AB88" i="34"/>
  <c r="AC88" i="34"/>
  <c r="AI88" i="34"/>
  <c r="AH88" i="34"/>
  <c r="AG88" i="34"/>
  <c r="AF88" i="34"/>
  <c r="AE88" i="34"/>
  <c r="AN88" i="34"/>
  <c r="AM88" i="34"/>
  <c r="AL88" i="34"/>
  <c r="AS88" i="34"/>
  <c r="AO88" i="34"/>
  <c r="AR88" i="34"/>
  <c r="AQ88" i="34"/>
  <c r="AP88" i="34"/>
  <c r="T88" i="34"/>
  <c r="R88" i="34"/>
  <c r="S88" i="34"/>
  <c r="Y88" i="34"/>
  <c r="X88" i="34"/>
  <c r="W88" i="34"/>
  <c r="V88" i="34"/>
  <c r="U88" i="34"/>
  <c r="BI47" i="33"/>
  <c r="BI46" i="33"/>
  <c r="AW88" i="33"/>
  <c r="AW42" i="33"/>
  <c r="AY42" i="33"/>
  <c r="AX42" i="33"/>
  <c r="AV88" i="33"/>
  <c r="AV42" i="33"/>
  <c r="BB42" i="33"/>
  <c r="BA42" i="33"/>
  <c r="AY88" i="33"/>
  <c r="BC88" i="33"/>
  <c r="BC42" i="33"/>
  <c r="BB88" i="33"/>
  <c r="BA88" i="33"/>
  <c r="AZ42" i="33"/>
  <c r="AX88" i="33"/>
  <c r="AZ88" i="33"/>
  <c r="AM88" i="33"/>
  <c r="AL88" i="33"/>
  <c r="AS88" i="33"/>
  <c r="AR88" i="33"/>
  <c r="AO88" i="33"/>
  <c r="AN88" i="33"/>
  <c r="AQ88" i="33"/>
  <c r="AP88" i="33"/>
  <c r="AC42" i="33"/>
  <c r="AG42" i="33"/>
  <c r="AB42" i="33"/>
  <c r="AF42" i="33"/>
  <c r="AE42" i="33"/>
  <c r="AD42" i="33"/>
  <c r="AI42" i="33"/>
  <c r="AH42" i="33"/>
  <c r="S42" i="33"/>
  <c r="R42" i="33"/>
  <c r="Y42" i="33"/>
  <c r="X42" i="33"/>
  <c r="T42" i="33"/>
  <c r="W42" i="33"/>
  <c r="V42" i="33"/>
  <c r="U42" i="33"/>
  <c r="AM42" i="33"/>
  <c r="AL42" i="33"/>
  <c r="AS42" i="33"/>
  <c r="AR42" i="33"/>
  <c r="AQ42" i="33"/>
  <c r="AP42" i="33"/>
  <c r="AO42" i="33"/>
  <c r="AN42" i="33"/>
  <c r="BG88" i="33"/>
  <c r="BH88" i="33"/>
  <c r="BF88" i="33"/>
  <c r="BM88" i="33"/>
  <c r="BL88" i="33"/>
  <c r="BK88" i="33"/>
  <c r="BI88" i="33"/>
  <c r="BJ88" i="33"/>
  <c r="I88" i="33"/>
  <c r="M88" i="33"/>
  <c r="L88" i="33"/>
  <c r="H88" i="33"/>
  <c r="O88" i="33"/>
  <c r="N88" i="33"/>
  <c r="J88" i="33"/>
  <c r="K88" i="33"/>
  <c r="AC88" i="33"/>
  <c r="AB88" i="33"/>
  <c r="AD88" i="33"/>
  <c r="AI88" i="33"/>
  <c r="AH88" i="33"/>
  <c r="AE88" i="33"/>
  <c r="AG88" i="33"/>
  <c r="AF88" i="33"/>
  <c r="I42" i="33"/>
  <c r="K42" i="33"/>
  <c r="H42" i="33"/>
  <c r="O42" i="33"/>
  <c r="N42" i="33"/>
  <c r="M42" i="33"/>
  <c r="L42" i="33"/>
  <c r="J42" i="33"/>
  <c r="BG42" i="33"/>
  <c r="BF42" i="33"/>
  <c r="BM42" i="33"/>
  <c r="BL42" i="33"/>
  <c r="BJ42" i="33"/>
  <c r="BI42" i="33"/>
  <c r="BH42" i="33"/>
  <c r="BK42" i="33"/>
  <c r="S88" i="33"/>
  <c r="R88" i="33"/>
  <c r="U88" i="33"/>
  <c r="Y88" i="33"/>
  <c r="X88" i="33"/>
  <c r="T88" i="33"/>
  <c r="W88" i="33"/>
  <c r="V88" i="33"/>
  <c r="AV42" i="31"/>
  <c r="AX42" i="31"/>
  <c r="AW42" i="31"/>
  <c r="BA42" i="31"/>
  <c r="AZ42" i="31"/>
  <c r="BC42" i="31"/>
  <c r="BB42" i="31"/>
  <c r="AY42" i="31"/>
  <c r="BJ42" i="31"/>
  <c r="BI42" i="31"/>
  <c r="BH42" i="31"/>
  <c r="BG42" i="31"/>
  <c r="BF42" i="31"/>
  <c r="BM42" i="31"/>
  <c r="BL42" i="31"/>
  <c r="BK42" i="31"/>
  <c r="N42" i="31"/>
  <c r="J42" i="31"/>
  <c r="H42" i="31"/>
  <c r="O42" i="31"/>
  <c r="M42" i="31"/>
  <c r="L42" i="31"/>
  <c r="K42" i="31"/>
  <c r="I42" i="31"/>
  <c r="AH42" i="31"/>
  <c r="AD42" i="31"/>
  <c r="AC42" i="31"/>
  <c r="AB42" i="31"/>
  <c r="AI42" i="31"/>
  <c r="AG42" i="31"/>
  <c r="AF42" i="31"/>
  <c r="AE42" i="31"/>
  <c r="X42" i="31"/>
  <c r="V42" i="31"/>
  <c r="R42" i="31"/>
  <c r="T42" i="31"/>
  <c r="Y42" i="31"/>
  <c r="W42" i="31"/>
  <c r="S42" i="31"/>
  <c r="U42" i="31"/>
  <c r="AS42" i="31"/>
  <c r="AQ42" i="31"/>
  <c r="AP42" i="31"/>
  <c r="AM42" i="31"/>
  <c r="AR42" i="31"/>
  <c r="AN42" i="31"/>
  <c r="AL42" i="31"/>
  <c r="AO42" i="31"/>
  <c r="G52" i="36"/>
  <c r="AF29" i="30" s="1"/>
  <c r="P36" i="30" s="1"/>
  <c r="G51" i="36"/>
  <c r="AF28" i="30" s="1"/>
  <c r="G52" i="35"/>
  <c r="G51" i="35"/>
  <c r="BM84" i="36"/>
  <c r="BL84" i="36"/>
  <c r="BJ84" i="36"/>
  <c r="BG84" i="36"/>
  <c r="BF84" i="36"/>
  <c r="BH84" i="36"/>
  <c r="BI84" i="36"/>
  <c r="BK84" i="36"/>
  <c r="AV84" i="36"/>
  <c r="BC84" i="36"/>
  <c r="AX84" i="36"/>
  <c r="BB42" i="36"/>
  <c r="AW84" i="36"/>
  <c r="AW42" i="36"/>
  <c r="AV42" i="36"/>
  <c r="AY84" i="36"/>
  <c r="AY42" i="36"/>
  <c r="AZ42" i="36"/>
  <c r="BC42" i="36"/>
  <c r="BA42" i="36"/>
  <c r="AX42" i="36"/>
  <c r="BA84" i="36"/>
  <c r="BB84" i="36"/>
  <c r="AZ84" i="36"/>
  <c r="H84" i="36"/>
  <c r="M84" i="36"/>
  <c r="L84" i="36"/>
  <c r="K84" i="36"/>
  <c r="J84" i="36"/>
  <c r="I84" i="36"/>
  <c r="N84" i="36"/>
  <c r="O84" i="36"/>
  <c r="Y84" i="36"/>
  <c r="W84" i="36"/>
  <c r="V84" i="36"/>
  <c r="U84" i="36"/>
  <c r="T84" i="36"/>
  <c r="S84" i="36"/>
  <c r="R84" i="36"/>
  <c r="X84" i="36"/>
  <c r="AI42" i="36"/>
  <c r="AD42" i="36"/>
  <c r="AH42" i="36"/>
  <c r="AE42" i="36"/>
  <c r="AG42" i="36"/>
  <c r="AF42" i="36"/>
  <c r="O42" i="36"/>
  <c r="M42" i="36"/>
  <c r="L42" i="36"/>
  <c r="K42" i="36"/>
  <c r="J42" i="36"/>
  <c r="I42" i="36"/>
  <c r="H42" i="36"/>
  <c r="N42" i="36"/>
  <c r="AS84" i="36"/>
  <c r="AM84" i="36"/>
  <c r="AL84" i="36"/>
  <c r="AR84" i="36"/>
  <c r="AO84" i="36"/>
  <c r="AN84" i="36"/>
  <c r="AP84" i="36"/>
  <c r="AQ84" i="36"/>
  <c r="AB84" i="36"/>
  <c r="AF84" i="36"/>
  <c r="AE84" i="36"/>
  <c r="AD84" i="36"/>
  <c r="AC84" i="36"/>
  <c r="AH84" i="36"/>
  <c r="AG84" i="36"/>
  <c r="AI84" i="36"/>
  <c r="Y42" i="36"/>
  <c r="AL42" i="36"/>
  <c r="AM42" i="36"/>
  <c r="AQ42" i="36"/>
  <c r="AR42" i="36"/>
  <c r="AS42" i="36"/>
  <c r="AP42" i="36"/>
  <c r="AN42" i="36"/>
  <c r="AO42" i="36"/>
  <c r="BL42" i="36"/>
  <c r="BK42" i="36"/>
  <c r="BG42" i="36"/>
  <c r="BH42" i="36"/>
  <c r="BM42" i="36"/>
  <c r="BF42" i="36"/>
  <c r="BI42" i="36"/>
  <c r="BJ42" i="36"/>
  <c r="AY88" i="35"/>
  <c r="AX88" i="35"/>
  <c r="AW88" i="35"/>
  <c r="AV88" i="35"/>
  <c r="BC88" i="35"/>
  <c r="BB88" i="35"/>
  <c r="BA88" i="35"/>
  <c r="AZ88" i="35"/>
  <c r="H47" i="31"/>
  <c r="G51" i="31" s="1"/>
  <c r="I47" i="31"/>
  <c r="G52" i="31" s="1"/>
  <c r="AM88" i="35"/>
  <c r="AQ88" i="35"/>
  <c r="AN88" i="35"/>
  <c r="AR88" i="35"/>
  <c r="AS88" i="35"/>
  <c r="AO88" i="35"/>
  <c r="AL88" i="35"/>
  <c r="AP88" i="35"/>
  <c r="T42" i="35"/>
  <c r="R42" i="35"/>
  <c r="W42" i="35"/>
  <c r="X42" i="35"/>
  <c r="S42" i="35"/>
  <c r="Y42" i="35"/>
  <c r="U42" i="35"/>
  <c r="V42" i="35"/>
  <c r="BL42" i="35"/>
  <c r="BF42" i="35"/>
  <c r="BM42" i="35"/>
  <c r="BJ42" i="35"/>
  <c r="BH42" i="35"/>
  <c r="BI42" i="35"/>
  <c r="BK42" i="35"/>
  <c r="BG42" i="35"/>
  <c r="T88" i="35"/>
  <c r="Y88" i="35"/>
  <c r="R88" i="35"/>
  <c r="X88" i="35"/>
  <c r="S88" i="35"/>
  <c r="V88" i="35"/>
  <c r="W88" i="35"/>
  <c r="U88" i="35"/>
  <c r="K42" i="35"/>
  <c r="L42" i="35"/>
  <c r="M42" i="35"/>
  <c r="N42" i="35"/>
  <c r="O42" i="35"/>
  <c r="H42" i="35"/>
  <c r="I42" i="35"/>
  <c r="J42" i="35"/>
  <c r="BC42" i="35"/>
  <c r="AV42" i="35"/>
  <c r="BA42" i="35"/>
  <c r="AX42" i="35"/>
  <c r="AW42" i="35"/>
  <c r="AY42" i="35"/>
  <c r="BB42" i="35"/>
  <c r="AZ42" i="35"/>
  <c r="AN42" i="35"/>
  <c r="AQ42" i="35"/>
  <c r="AP42" i="35"/>
  <c r="AO42" i="35"/>
  <c r="AR42" i="35"/>
  <c r="AS42" i="35"/>
  <c r="AM42" i="35"/>
  <c r="AL42" i="35"/>
  <c r="M88" i="35"/>
  <c r="I88" i="35"/>
  <c r="O88" i="35"/>
  <c r="L88" i="35"/>
  <c r="J88" i="35"/>
  <c r="H88" i="35"/>
  <c r="N88" i="35"/>
  <c r="K88" i="35"/>
  <c r="AI42" i="35"/>
  <c r="AD42" i="35"/>
  <c r="AH42" i="35"/>
  <c r="AB42" i="35"/>
  <c r="AF42" i="35"/>
  <c r="AG42" i="35"/>
  <c r="AC42" i="35"/>
  <c r="AE42" i="35"/>
  <c r="AD88" i="35"/>
  <c r="AE88" i="35"/>
  <c r="AH88" i="35"/>
  <c r="AC88" i="35"/>
  <c r="AF88" i="35"/>
  <c r="AG88" i="35"/>
  <c r="AB88" i="35"/>
  <c r="AI88" i="35"/>
  <c r="J88" i="34"/>
  <c r="M88" i="34"/>
  <c r="O88" i="34"/>
  <c r="I88" i="34"/>
  <c r="N88" i="34"/>
  <c r="L88" i="34"/>
  <c r="K88" i="34"/>
  <c r="I95" i="33"/>
  <c r="H95" i="33"/>
  <c r="H88" i="34"/>
  <c r="H85" i="36"/>
  <c r="AN42" i="34"/>
  <c r="AR42" i="34"/>
  <c r="AS42" i="34"/>
  <c r="AO42" i="34"/>
  <c r="AL42" i="34"/>
  <c r="AP42" i="34"/>
  <c r="AQ42" i="34"/>
  <c r="AM42" i="34"/>
  <c r="AC42" i="34"/>
  <c r="AF42" i="34"/>
  <c r="AG42" i="34"/>
  <c r="AH42" i="34"/>
  <c r="AI42" i="34"/>
  <c r="AE42" i="34"/>
  <c r="AB42" i="34"/>
  <c r="AD42" i="34"/>
  <c r="O42" i="34"/>
  <c r="N42" i="34"/>
  <c r="I42" i="34"/>
  <c r="J42" i="34"/>
  <c r="H42" i="34"/>
  <c r="L42" i="34"/>
  <c r="K42" i="34"/>
  <c r="M42" i="34"/>
  <c r="V42" i="34"/>
  <c r="U42" i="34"/>
  <c r="T42" i="34"/>
  <c r="X42" i="34"/>
  <c r="Y42" i="34"/>
  <c r="W42" i="34"/>
  <c r="S42" i="34"/>
  <c r="R42" i="34"/>
  <c r="BI45" i="33"/>
  <c r="AG28" i="30" l="1"/>
  <c r="AH28" i="30"/>
  <c r="AG29" i="30"/>
  <c r="AH29" i="30"/>
  <c r="AX89" i="35"/>
  <c r="G93" i="36"/>
  <c r="G97" i="33"/>
  <c r="AD34" i="30" s="1"/>
  <c r="G98" i="33"/>
  <c r="AD35" i="30" s="1"/>
  <c r="G94" i="36"/>
  <c r="V43" i="36"/>
  <c r="V111" i="36" s="1"/>
  <c r="T43" i="36"/>
  <c r="BL43" i="36"/>
  <c r="BL111" i="36" s="1"/>
  <c r="AZ43" i="36"/>
  <c r="AZ111" i="36" s="1"/>
  <c r="BJ43" i="36"/>
  <c r="BJ111" i="36" s="1"/>
  <c r="N43" i="36"/>
  <c r="N111" i="36" s="1"/>
  <c r="BH43" i="36"/>
  <c r="AF43" i="36"/>
  <c r="AF111" i="36" s="1"/>
  <c r="X43" i="36"/>
  <c r="X111" i="36" s="1"/>
  <c r="AD43" i="36"/>
  <c r="AR43" i="36"/>
  <c r="AR111" i="36" s="1"/>
  <c r="R43" i="36"/>
  <c r="R111" i="36" s="1"/>
  <c r="BH89" i="35"/>
  <c r="AL43" i="36"/>
  <c r="AL111" i="36" s="1"/>
  <c r="AP89" i="35"/>
  <c r="AP102" i="35" s="1"/>
  <c r="V89" i="34"/>
  <c r="V102" i="34" s="1"/>
  <c r="AF89" i="35"/>
  <c r="AF102" i="35" s="1"/>
  <c r="R89" i="35"/>
  <c r="R102" i="35" s="1"/>
  <c r="H43" i="36"/>
  <c r="H111" i="36" s="1"/>
  <c r="AV43" i="36"/>
  <c r="AV111" i="36" s="1"/>
  <c r="J43" i="36"/>
  <c r="AD43" i="35"/>
  <c r="AL89" i="35"/>
  <c r="AL102" i="35" s="1"/>
  <c r="BF43" i="36"/>
  <c r="BF111" i="36" s="1"/>
  <c r="BI114" i="36" s="1"/>
  <c r="W114" i="36" s="1"/>
  <c r="AP43" i="36"/>
  <c r="AP111" i="36" s="1"/>
  <c r="AB43" i="36"/>
  <c r="AB111" i="36" s="1"/>
  <c r="BB43" i="36"/>
  <c r="BB111" i="36" s="1"/>
  <c r="AB43" i="35"/>
  <c r="AB114" i="35" s="1"/>
  <c r="L43" i="36"/>
  <c r="L111" i="36" s="1"/>
  <c r="AF43" i="35"/>
  <c r="AF114" i="35" s="1"/>
  <c r="AR43" i="35"/>
  <c r="AR114" i="35" s="1"/>
  <c r="AH43" i="36"/>
  <c r="AH111" i="36" s="1"/>
  <c r="AX43" i="36"/>
  <c r="BH43" i="35"/>
  <c r="AN89" i="35"/>
  <c r="AN43" i="36"/>
  <c r="BH85" i="36"/>
  <c r="BL85" i="36"/>
  <c r="L89" i="34"/>
  <c r="L102" i="34" s="1"/>
  <c r="AR85" i="36"/>
  <c r="BB85" i="36"/>
  <c r="BB89" i="35"/>
  <c r="BB102" i="35" s="1"/>
  <c r="AL85" i="36"/>
  <c r="BF85" i="36"/>
  <c r="L85" i="36"/>
  <c r="AP85" i="36"/>
  <c r="AZ85" i="36"/>
  <c r="V85" i="36"/>
  <c r="AF85" i="36"/>
  <c r="R85" i="36"/>
  <c r="N85" i="36"/>
  <c r="AV85" i="36"/>
  <c r="AB85" i="36"/>
  <c r="AX85" i="36"/>
  <c r="AD85" i="36"/>
  <c r="BJ85" i="36"/>
  <c r="AH85" i="36"/>
  <c r="X85" i="36"/>
  <c r="J85" i="36"/>
  <c r="AV89" i="35"/>
  <c r="AV102" i="35" s="1"/>
  <c r="AN85" i="36"/>
  <c r="T85" i="36"/>
  <c r="AV43" i="35"/>
  <c r="AV114" i="35" s="1"/>
  <c r="BJ89" i="35"/>
  <c r="BJ102" i="35" s="1"/>
  <c r="AL43" i="35"/>
  <c r="AL114" i="35" s="1"/>
  <c r="J43" i="35"/>
  <c r="AD89" i="35"/>
  <c r="AP43" i="35"/>
  <c r="AP114" i="35" s="1"/>
  <c r="N43" i="35"/>
  <c r="N114" i="35" s="1"/>
  <c r="AR89" i="35"/>
  <c r="AR102" i="35" s="1"/>
  <c r="AZ89" i="35"/>
  <c r="AZ102" i="35" s="1"/>
  <c r="AH89" i="35"/>
  <c r="AH102" i="35" s="1"/>
  <c r="AZ43" i="35"/>
  <c r="AZ114" i="35" s="1"/>
  <c r="BL89" i="35"/>
  <c r="BL102" i="35" s="1"/>
  <c r="L43" i="35"/>
  <c r="L114" i="35" s="1"/>
  <c r="BL43" i="35"/>
  <c r="BL114" i="35" s="1"/>
  <c r="X89" i="35"/>
  <c r="X102" i="35" s="1"/>
  <c r="BB43" i="35"/>
  <c r="BB114" i="35" s="1"/>
  <c r="BF89" i="35"/>
  <c r="BF102" i="35" s="1"/>
  <c r="T89" i="35"/>
  <c r="T102" i="35" s="1"/>
  <c r="BF43" i="35"/>
  <c r="BF114" i="35" s="1"/>
  <c r="AH43" i="35"/>
  <c r="AH114" i="35" s="1"/>
  <c r="AB89" i="35"/>
  <c r="AB102" i="35" s="1"/>
  <c r="AN43" i="35"/>
  <c r="AX43" i="35"/>
  <c r="H43" i="35"/>
  <c r="H114" i="35" s="1"/>
  <c r="V89" i="35"/>
  <c r="V102" i="35" s="1"/>
  <c r="BJ43" i="35"/>
  <c r="BJ114" i="35" s="1"/>
  <c r="H89" i="34"/>
  <c r="H102" i="34" s="1"/>
  <c r="AV43" i="31"/>
  <c r="AV55" i="31" s="1"/>
  <c r="BB43" i="33"/>
  <c r="BB114" i="33" s="1"/>
  <c r="AZ43" i="31"/>
  <c r="AZ55" i="31" s="1"/>
  <c r="L89" i="33"/>
  <c r="L102" i="33" s="1"/>
  <c r="BH89" i="33"/>
  <c r="AH89" i="33"/>
  <c r="AH102" i="33" s="1"/>
  <c r="BB89" i="33"/>
  <c r="BB102" i="33" s="1"/>
  <c r="T89" i="33"/>
  <c r="AD89" i="34"/>
  <c r="AD89" i="33"/>
  <c r="R89" i="34"/>
  <c r="R102" i="34" s="1"/>
  <c r="X89" i="34"/>
  <c r="X102" i="34" s="1"/>
  <c r="AN89" i="34"/>
  <c r="L43" i="34"/>
  <c r="L114" i="34" s="1"/>
  <c r="AL89" i="33"/>
  <c r="AL102" i="33" s="1"/>
  <c r="H43" i="34"/>
  <c r="H114" i="34" s="1"/>
  <c r="AX89" i="33"/>
  <c r="AP89" i="33"/>
  <c r="AP102" i="33" s="1"/>
  <c r="V89" i="33"/>
  <c r="V102" i="33" s="1"/>
  <c r="AZ89" i="33"/>
  <c r="AZ102" i="33" s="1"/>
  <c r="AB89" i="33"/>
  <c r="AB102" i="33" s="1"/>
  <c r="J89" i="33"/>
  <c r="H49" i="33"/>
  <c r="I49" i="33"/>
  <c r="AR43" i="34"/>
  <c r="AR114" i="34" s="1"/>
  <c r="N89" i="33"/>
  <c r="AB43" i="34"/>
  <c r="AB114" i="34" s="1"/>
  <c r="AN89" i="33"/>
  <c r="AV89" i="33"/>
  <c r="AV102" i="33" s="1"/>
  <c r="AH89" i="34"/>
  <c r="AH102" i="34" s="1"/>
  <c r="AB89" i="34"/>
  <c r="AB102" i="34" s="1"/>
  <c r="T43" i="34"/>
  <c r="N43" i="34"/>
  <c r="N114" i="34" s="1"/>
  <c r="AR89" i="33"/>
  <c r="AR102" i="33" s="1"/>
  <c r="X89" i="33"/>
  <c r="X102" i="33" s="1"/>
  <c r="AL43" i="34"/>
  <c r="AL114" i="34" s="1"/>
  <c r="BF89" i="33"/>
  <c r="BF102" i="33" s="1"/>
  <c r="AL89" i="34"/>
  <c r="AL102" i="34" s="1"/>
  <c r="J89" i="34"/>
  <c r="H89" i="33"/>
  <c r="H102" i="33" s="1"/>
  <c r="T89" i="34"/>
  <c r="J43" i="34"/>
  <c r="R89" i="33"/>
  <c r="R102" i="33" s="1"/>
  <c r="N89" i="34"/>
  <c r="N102" i="34" s="1"/>
  <c r="AF43" i="34"/>
  <c r="AF114" i="34" s="1"/>
  <c r="BJ89" i="33"/>
  <c r="BJ102" i="33" s="1"/>
  <c r="AP89" i="34"/>
  <c r="AP102" i="34" s="1"/>
  <c r="AH43" i="34"/>
  <c r="AH114" i="34" s="1"/>
  <c r="BB43" i="31"/>
  <c r="BB55" i="31" s="1"/>
  <c r="AN43" i="34"/>
  <c r="AF89" i="33"/>
  <c r="AF102" i="33" s="1"/>
  <c r="X43" i="34"/>
  <c r="X114" i="34" s="1"/>
  <c r="AF89" i="34"/>
  <c r="AF102" i="34" s="1"/>
  <c r="V43" i="34"/>
  <c r="V114" i="34" s="1"/>
  <c r="AP43" i="34"/>
  <c r="AP114" i="34" s="1"/>
  <c r="H43" i="31"/>
  <c r="H55" i="31" s="1"/>
  <c r="R43" i="34"/>
  <c r="R114" i="34" s="1"/>
  <c r="AD43" i="34"/>
  <c r="BL89" i="33"/>
  <c r="BL102" i="33" s="1"/>
  <c r="AR89" i="34"/>
  <c r="AR102" i="34" s="1"/>
  <c r="BF43" i="31"/>
  <c r="BF55" i="31" s="1"/>
  <c r="V43" i="33"/>
  <c r="V114" i="33" s="1"/>
  <c r="BJ43" i="31"/>
  <c r="BJ55" i="31" s="1"/>
  <c r="BH43" i="31"/>
  <c r="BL43" i="31"/>
  <c r="BL55" i="31" s="1"/>
  <c r="L43" i="33"/>
  <c r="L114" i="33" s="1"/>
  <c r="AZ43" i="33"/>
  <c r="AZ114" i="33" s="1"/>
  <c r="AX43" i="33"/>
  <c r="BJ43" i="33"/>
  <c r="BJ114" i="33" s="1"/>
  <c r="BF43" i="33"/>
  <c r="BF114" i="33" s="1"/>
  <c r="BH43" i="33"/>
  <c r="BL43" i="33"/>
  <c r="BL114" i="33" s="1"/>
  <c r="AX43" i="31"/>
  <c r="AV43" i="33"/>
  <c r="AV114" i="33" s="1"/>
  <c r="AH43" i="31"/>
  <c r="AH55" i="31" s="1"/>
  <c r="AB43" i="31"/>
  <c r="AB55" i="31" s="1"/>
  <c r="AH43" i="33"/>
  <c r="AH114" i="33" s="1"/>
  <c r="AR43" i="33"/>
  <c r="AR114" i="33" s="1"/>
  <c r="AF43" i="33"/>
  <c r="AF114" i="33" s="1"/>
  <c r="T43" i="33"/>
  <c r="R43" i="33"/>
  <c r="R114" i="33" s="1"/>
  <c r="AL43" i="33"/>
  <c r="AL114" i="33" s="1"/>
  <c r="H43" i="33"/>
  <c r="H114" i="33" s="1"/>
  <c r="J43" i="33"/>
  <c r="AB43" i="33"/>
  <c r="AB114" i="33" s="1"/>
  <c r="N43" i="33"/>
  <c r="N114" i="33" s="1"/>
  <c r="X43" i="33"/>
  <c r="X114" i="33" s="1"/>
  <c r="AN43" i="33"/>
  <c r="AP43" i="33"/>
  <c r="AP114" i="33" s="1"/>
  <c r="AC28" i="30"/>
  <c r="AC29" i="30"/>
  <c r="AR43" i="31"/>
  <c r="AR55" i="31" s="1"/>
  <c r="AP43" i="31"/>
  <c r="AP55" i="31" s="1"/>
  <c r="L43" i="31"/>
  <c r="L55" i="31" s="1"/>
  <c r="AL43" i="31"/>
  <c r="AL55" i="31" s="1"/>
  <c r="AF43" i="31"/>
  <c r="AF55" i="31" s="1"/>
  <c r="AN43" i="31"/>
  <c r="AD43" i="31"/>
  <c r="V43" i="31"/>
  <c r="V55" i="31" s="1"/>
  <c r="X43" i="31"/>
  <c r="X55" i="31" s="1"/>
  <c r="J43" i="31"/>
  <c r="T43" i="31"/>
  <c r="N43" i="31"/>
  <c r="N55" i="31" s="1"/>
  <c r="R43" i="31"/>
  <c r="R55" i="31" s="1"/>
  <c r="W117" i="36" l="1"/>
  <c r="W116" i="36"/>
  <c r="AD102" i="35"/>
  <c r="AE90" i="35"/>
  <c r="AN102" i="35"/>
  <c r="AO90" i="35"/>
  <c r="J114" i="35"/>
  <c r="K44" i="35"/>
  <c r="G47" i="35" s="1"/>
  <c r="BH114" i="35"/>
  <c r="BI44" i="35"/>
  <c r="AD111" i="36"/>
  <c r="AE44" i="36"/>
  <c r="T111" i="36"/>
  <c r="U114" i="36" s="1"/>
  <c r="U44" i="36"/>
  <c r="AX111" i="36"/>
  <c r="AY44" i="36"/>
  <c r="BH111" i="36"/>
  <c r="BI44" i="36"/>
  <c r="AN114" i="35"/>
  <c r="AO117" i="35" s="1"/>
  <c r="V117" i="35" s="1"/>
  <c r="AO44" i="35"/>
  <c r="AD114" i="35"/>
  <c r="AE117" i="35" s="1"/>
  <c r="AE44" i="35"/>
  <c r="AX114" i="35"/>
  <c r="AY44" i="35"/>
  <c r="J111" i="36"/>
  <c r="K114" i="36" s="1"/>
  <c r="K44" i="36"/>
  <c r="BH102" i="35"/>
  <c r="BI90" i="35"/>
  <c r="AN111" i="36"/>
  <c r="AO44" i="36"/>
  <c r="AX102" i="35"/>
  <c r="AY90" i="35"/>
  <c r="AD102" i="34"/>
  <c r="AE90" i="34"/>
  <c r="J102" i="34"/>
  <c r="K105" i="34" s="1"/>
  <c r="K90" i="34"/>
  <c r="T102" i="34"/>
  <c r="U105" i="34" s="1"/>
  <c r="U90" i="34"/>
  <c r="AN102" i="34"/>
  <c r="AO90" i="34"/>
  <c r="AN114" i="34"/>
  <c r="AO117" i="34" s="1"/>
  <c r="V117" i="34" s="1"/>
  <c r="AO44" i="34"/>
  <c r="J114" i="34"/>
  <c r="K117" i="34" s="1"/>
  <c r="K44" i="34"/>
  <c r="T114" i="34"/>
  <c r="U117" i="34" s="1"/>
  <c r="U44" i="34"/>
  <c r="AD114" i="34"/>
  <c r="AE44" i="34"/>
  <c r="AD102" i="33"/>
  <c r="AE90" i="33"/>
  <c r="AX102" i="33"/>
  <c r="AY90" i="33"/>
  <c r="AN114" i="33"/>
  <c r="AO117" i="33" s="1"/>
  <c r="V117" i="33" s="1"/>
  <c r="AO44" i="33"/>
  <c r="T114" i="33"/>
  <c r="U44" i="33"/>
  <c r="T102" i="33"/>
  <c r="U90" i="33"/>
  <c r="J102" i="33"/>
  <c r="K90" i="33"/>
  <c r="BH102" i="33"/>
  <c r="BI90" i="33"/>
  <c r="J114" i="33"/>
  <c r="K44" i="33"/>
  <c r="AN102" i="33"/>
  <c r="AO90" i="33"/>
  <c r="AX114" i="33"/>
  <c r="AY44" i="33"/>
  <c r="BH114" i="33"/>
  <c r="BI44" i="33"/>
  <c r="AX55" i="31"/>
  <c r="AY44" i="31"/>
  <c r="AN55" i="31"/>
  <c r="AO58" i="31" s="1"/>
  <c r="V58" i="31" s="1"/>
  <c r="AO44" i="31"/>
  <c r="BH55" i="31"/>
  <c r="BI44" i="31"/>
  <c r="T55" i="31"/>
  <c r="U58" i="31" s="1"/>
  <c r="U44" i="31"/>
  <c r="J55" i="31"/>
  <c r="K44" i="31"/>
  <c r="AD55" i="31"/>
  <c r="AE44" i="31"/>
  <c r="N102" i="33"/>
  <c r="AE114" i="36"/>
  <c r="L114" i="36" s="1"/>
  <c r="AE105" i="34"/>
  <c r="L105" i="34" s="1"/>
  <c r="AO105" i="35"/>
  <c r="V105" i="35" s="1"/>
  <c r="AY114" i="36"/>
  <c r="M114" i="36" s="1"/>
  <c r="AO105" i="34"/>
  <c r="V105" i="34" s="1"/>
  <c r="AY117" i="35"/>
  <c r="AO114" i="36"/>
  <c r="V114" i="36" s="1"/>
  <c r="AE105" i="35"/>
  <c r="L105" i="35" s="1"/>
  <c r="BI117" i="35"/>
  <c r="W117" i="35" s="1"/>
  <c r="BI105" i="35"/>
  <c r="W105" i="35" s="1"/>
  <c r="AY105" i="35"/>
  <c r="M105" i="35" s="1"/>
  <c r="AE117" i="34"/>
  <c r="L117" i="34" s="1"/>
  <c r="U105" i="35"/>
  <c r="K117" i="35"/>
  <c r="AY117" i="33"/>
  <c r="M117" i="33" s="1"/>
  <c r="AY58" i="31"/>
  <c r="M58" i="31" s="1"/>
  <c r="BI105" i="33"/>
  <c r="AY105" i="33"/>
  <c r="W105" i="33" s="1"/>
  <c r="AE105" i="33"/>
  <c r="L105" i="33" s="1"/>
  <c r="G51" i="33"/>
  <c r="AD28" i="30" s="1"/>
  <c r="S38" i="30" s="1"/>
  <c r="G52" i="33"/>
  <c r="AD29" i="30" s="1"/>
  <c r="S39" i="30" s="1"/>
  <c r="AO105" i="33"/>
  <c r="V105" i="33" s="1"/>
  <c r="U105" i="33"/>
  <c r="BI117" i="33"/>
  <c r="W117" i="33" s="1"/>
  <c r="K117" i="33"/>
  <c r="U117" i="33"/>
  <c r="K58" i="31"/>
  <c r="AE58" i="31"/>
  <c r="L58" i="31" s="1"/>
  <c r="BI58" i="31"/>
  <c r="W58" i="31" s="1"/>
  <c r="AE86" i="36"/>
  <c r="BI86" i="36"/>
  <c r="AY86" i="36"/>
  <c r="AO86" i="36"/>
  <c r="U86" i="36"/>
  <c r="G89" i="36" s="1"/>
  <c r="U90" i="35"/>
  <c r="U116" i="36" l="1"/>
  <c r="U117" i="36"/>
  <c r="M116" i="36"/>
  <c r="M117" i="36"/>
  <c r="L116" i="36"/>
  <c r="L117" i="36"/>
  <c r="V117" i="36"/>
  <c r="T117" i="36" s="1"/>
  <c r="V116" i="36"/>
  <c r="V120" i="34"/>
  <c r="V119" i="34"/>
  <c r="V108" i="34"/>
  <c r="V107" i="34"/>
  <c r="L120" i="34"/>
  <c r="L119" i="34"/>
  <c r="L107" i="34"/>
  <c r="L108" i="34"/>
  <c r="U120" i="34"/>
  <c r="U119" i="34"/>
  <c r="U108" i="34"/>
  <c r="T108" i="34" s="1"/>
  <c r="U107" i="34"/>
  <c r="T107" i="34" s="1"/>
  <c r="W61" i="31"/>
  <c r="W60" i="31"/>
  <c r="V61" i="31"/>
  <c r="V60" i="31"/>
  <c r="U61" i="31"/>
  <c r="U60" i="31"/>
  <c r="L60" i="31"/>
  <c r="L61" i="31"/>
  <c r="M60" i="31"/>
  <c r="M61" i="31"/>
  <c r="L117" i="35"/>
  <c r="L124" i="35"/>
  <c r="J125" i="35" s="1"/>
  <c r="AH38" i="30" s="1"/>
  <c r="V120" i="35"/>
  <c r="T120" i="35" s="1"/>
  <c r="V119" i="35"/>
  <c r="T119" i="35" s="1"/>
  <c r="M117" i="35"/>
  <c r="M124" i="35"/>
  <c r="M108" i="35"/>
  <c r="M107" i="35"/>
  <c r="V107" i="35"/>
  <c r="V108" i="35"/>
  <c r="T108" i="35" s="1"/>
  <c r="W107" i="35"/>
  <c r="W108" i="35"/>
  <c r="W120" i="35"/>
  <c r="W119" i="35"/>
  <c r="L108" i="35"/>
  <c r="L107" i="35"/>
  <c r="J107" i="35" s="1"/>
  <c r="AH46" i="30" s="1"/>
  <c r="W120" i="33"/>
  <c r="W119" i="33"/>
  <c r="U107" i="33"/>
  <c r="U108" i="33"/>
  <c r="M119" i="33"/>
  <c r="M120" i="33"/>
  <c r="V107" i="33"/>
  <c r="V108" i="33"/>
  <c r="U119" i="33"/>
  <c r="U120" i="33"/>
  <c r="W107" i="33"/>
  <c r="W108" i="33"/>
  <c r="V119" i="33"/>
  <c r="V120" i="33"/>
  <c r="L108" i="33"/>
  <c r="L107" i="33"/>
  <c r="G93" i="33"/>
  <c r="J115" i="36"/>
  <c r="T115" i="36"/>
  <c r="T118" i="36" s="1"/>
  <c r="J106" i="34"/>
  <c r="J106" i="35"/>
  <c r="T118" i="35"/>
  <c r="J118" i="35"/>
  <c r="T106" i="34"/>
  <c r="J118" i="34"/>
  <c r="G94" i="35"/>
  <c r="U107" i="35"/>
  <c r="T106" i="35"/>
  <c r="U108" i="35"/>
  <c r="G48" i="34"/>
  <c r="T118" i="34"/>
  <c r="T106" i="33"/>
  <c r="J59" i="31"/>
  <c r="T59" i="31"/>
  <c r="M105" i="33"/>
  <c r="G94" i="34"/>
  <c r="G94" i="33"/>
  <c r="G49" i="31"/>
  <c r="T118" i="33"/>
  <c r="G48" i="36"/>
  <c r="G90" i="36"/>
  <c r="G49" i="36"/>
  <c r="G91" i="36"/>
  <c r="G47" i="36"/>
  <c r="G50" i="36" s="1"/>
  <c r="G48" i="35"/>
  <c r="G95" i="33"/>
  <c r="G95" i="35"/>
  <c r="G49" i="35"/>
  <c r="G93" i="34"/>
  <c r="G47" i="33"/>
  <c r="G47" i="34"/>
  <c r="G48" i="31"/>
  <c r="G49" i="33"/>
  <c r="G47" i="31"/>
  <c r="J118" i="36" l="1"/>
  <c r="AF42" i="30" s="1"/>
  <c r="S28" i="30" s="1"/>
  <c r="K116" i="36"/>
  <c r="J116" i="36" s="1"/>
  <c r="K117" i="36"/>
  <c r="K119" i="34"/>
  <c r="J119" i="34" s="1"/>
  <c r="K120" i="34"/>
  <c r="J120" i="34" s="1"/>
  <c r="K107" i="34"/>
  <c r="J107" i="34" s="1"/>
  <c r="AE46" i="30" s="1"/>
  <c r="K108" i="34"/>
  <c r="J108" i="34" s="1"/>
  <c r="AE47" i="30" s="1"/>
  <c r="K60" i="31"/>
  <c r="K61" i="31"/>
  <c r="M127" i="35"/>
  <c r="M126" i="35"/>
  <c r="L127" i="35"/>
  <c r="J127" i="35" s="1"/>
  <c r="AH41" i="30" s="1"/>
  <c r="L126" i="35"/>
  <c r="J126" i="35" s="1"/>
  <c r="AH40" i="30" s="1"/>
  <c r="AH39" i="30"/>
  <c r="K120" i="35"/>
  <c r="J120" i="35" s="1"/>
  <c r="K119" i="35"/>
  <c r="J119" i="35" s="1"/>
  <c r="AG40" i="30" s="1"/>
  <c r="K107" i="35"/>
  <c r="AH44" i="30"/>
  <c r="AH45" i="30" s="1"/>
  <c r="M120" i="35"/>
  <c r="M119" i="35"/>
  <c r="L119" i="35"/>
  <c r="L120" i="35"/>
  <c r="M107" i="33"/>
  <c r="M108" i="33"/>
  <c r="T116" i="36"/>
  <c r="AE44" i="30"/>
  <c r="AE45" i="30" s="1"/>
  <c r="J117" i="36"/>
  <c r="AF41" i="30" s="1"/>
  <c r="T107" i="35"/>
  <c r="AG46" i="30" s="1"/>
  <c r="AG38" i="30"/>
  <c r="AG39" i="30" s="1"/>
  <c r="J108" i="35"/>
  <c r="AG44" i="30"/>
  <c r="AG45" i="30" s="1"/>
  <c r="K108" i="35"/>
  <c r="G96" i="35"/>
  <c r="AE38" i="30"/>
  <c r="AE39" i="30" s="1"/>
  <c r="AF38" i="30"/>
  <c r="AF39" i="30" s="1"/>
  <c r="T119" i="34"/>
  <c r="T120" i="34"/>
  <c r="G50" i="34"/>
  <c r="AE27" i="30" s="1"/>
  <c r="AF27" i="30"/>
  <c r="G92" i="36"/>
  <c r="T108" i="33"/>
  <c r="G96" i="33"/>
  <c r="AD33" i="30" s="1"/>
  <c r="G96" i="34"/>
  <c r="AE33" i="30" s="1"/>
  <c r="G50" i="35"/>
  <c r="T107" i="33"/>
  <c r="T119" i="33"/>
  <c r="T120" i="33"/>
  <c r="AC38" i="30"/>
  <c r="AC39" i="30" s="1"/>
  <c r="T60" i="31"/>
  <c r="T61" i="31"/>
  <c r="G50" i="31"/>
  <c r="AC27" i="30" s="1"/>
  <c r="AD43" i="33"/>
  <c r="AE44" i="33" s="1"/>
  <c r="AG47" i="30" l="1"/>
  <c r="AH47" i="30"/>
  <c r="AG41" i="30"/>
  <c r="AG33" i="30"/>
  <c r="AH33" i="30"/>
  <c r="AG27" i="30"/>
  <c r="AH27" i="30"/>
  <c r="AF40" i="30"/>
  <c r="AE41" i="30"/>
  <c r="AE40" i="30"/>
  <c r="J60" i="31"/>
  <c r="AC40" i="30" s="1"/>
  <c r="J61" i="31"/>
  <c r="AC41" i="30" s="1"/>
  <c r="G48" i="33"/>
  <c r="G50" i="33" s="1"/>
  <c r="AD27" i="30" s="1"/>
  <c r="AD114" i="33"/>
  <c r="AE117" i="33" s="1"/>
  <c r="L117" i="33" s="1"/>
  <c r="S33" i="30" l="1"/>
  <c r="P35" i="30" s="1"/>
  <c r="J118" i="33"/>
  <c r="L119" i="33"/>
  <c r="L120" i="33"/>
  <c r="Q34" i="30" l="1"/>
  <c r="AD38" i="30"/>
  <c r="AD39" i="30" s="1"/>
  <c r="K119" i="33"/>
  <c r="J119" i="33" s="1"/>
  <c r="AD40" i="30" s="1"/>
  <c r="K120" i="33"/>
  <c r="J120" i="33" s="1"/>
  <c r="AD41" i="30" s="1"/>
  <c r="K105" i="33" l="1"/>
  <c r="J106" i="33" s="1"/>
  <c r="K108" i="33" l="1"/>
  <c r="J108" i="33" s="1"/>
  <c r="AD47" i="30" s="1"/>
  <c r="S27" i="30" s="1"/>
  <c r="K107" i="33"/>
  <c r="J107" i="33" s="1"/>
  <c r="AD46" i="30" s="1"/>
  <c r="S26" i="30" s="1"/>
  <c r="AD44" i="30"/>
  <c r="AD45" i="30" l="1"/>
  <c r="P24" i="30" s="1"/>
</calcChain>
</file>

<file path=xl/sharedStrings.xml><?xml version="1.0" encoding="utf-8"?>
<sst xmlns="http://schemas.openxmlformats.org/spreadsheetml/2006/main" count="3204" uniqueCount="171">
  <si>
    <t>Montage</t>
  </si>
  <si>
    <t>type de poutrelle</t>
  </si>
  <si>
    <t>entraxe (cm)</t>
  </si>
  <si>
    <t>2 AL</t>
  </si>
  <si>
    <t>1 ASE</t>
  </si>
  <si>
    <t>G</t>
  </si>
  <si>
    <t>Q</t>
  </si>
  <si>
    <t>Revetement Fragiles</t>
  </si>
  <si>
    <t>Stockage Court</t>
  </si>
  <si>
    <t>Avec part permanente de Q</t>
  </si>
  <si>
    <t>GF177 J</t>
  </si>
  <si>
    <t>GF178 J</t>
  </si>
  <si>
    <t>GF179 J</t>
  </si>
  <si>
    <t>GF187 J</t>
  </si>
  <si>
    <t>GF188 J</t>
  </si>
  <si>
    <t>GF189 J</t>
  </si>
  <si>
    <t>Comparatif poutrelles GL jumelées - VS sans étai</t>
  </si>
  <si>
    <t>portée=</t>
  </si>
  <si>
    <t>charges permanentes G=</t>
  </si>
  <si>
    <t>EBS</t>
  </si>
  <si>
    <t>Etaiement:</t>
  </si>
  <si>
    <t>PLASTI-VS</t>
  </si>
  <si>
    <t>Continuitées</t>
  </si>
  <si>
    <t>POLYSEAC</t>
  </si>
  <si>
    <t>AL</t>
  </si>
  <si>
    <t>1C</t>
  </si>
  <si>
    <t>hourdis</t>
  </si>
  <si>
    <t xml:space="preserve"> hauteur hourdis</t>
  </si>
  <si>
    <t>table de compression</t>
  </si>
  <si>
    <t>SEACISOL</t>
  </si>
  <si>
    <t>table</t>
  </si>
  <si>
    <t>charges libres Q=</t>
  </si>
  <si>
    <t>charge libres</t>
  </si>
  <si>
    <t>permanentes</t>
  </si>
  <si>
    <t>101+150</t>
  </si>
  <si>
    <t>151+150</t>
  </si>
  <si>
    <t>201+150</t>
  </si>
  <si>
    <t>251+150</t>
  </si>
  <si>
    <t>401+150</t>
  </si>
  <si>
    <t>501+150</t>
  </si>
  <si>
    <t>101+250</t>
  </si>
  <si>
    <t>151+250</t>
  </si>
  <si>
    <t>201+250</t>
  </si>
  <si>
    <t>251+250</t>
  </si>
  <si>
    <t>401+250</t>
  </si>
  <si>
    <t>401+400</t>
  </si>
  <si>
    <t>251+400</t>
  </si>
  <si>
    <t>choix continuité</t>
  </si>
  <si>
    <t>choix table</t>
  </si>
  <si>
    <t>portée max charge choisit</t>
  </si>
  <si>
    <t>101+400</t>
  </si>
  <si>
    <t>nom produit</t>
  </si>
  <si>
    <t>image produit</t>
  </si>
  <si>
    <r>
      <rPr>
        <b/>
        <sz val="14"/>
        <color theme="0" tint="-0.14999847407452621"/>
        <rFont val="MS Sans Serif"/>
      </rPr>
      <t>"</t>
    </r>
    <r>
      <rPr>
        <b/>
        <sz val="14"/>
        <rFont val="MS Sans Serif"/>
      </rPr>
      <t>+</t>
    </r>
    <r>
      <rPr>
        <b/>
        <sz val="14"/>
        <color theme="0" tint="-0.14999847407452621"/>
        <rFont val="MS Sans Serif"/>
      </rPr>
      <t>"</t>
    </r>
  </si>
  <si>
    <t>planchers vide sanitaire</t>
  </si>
  <si>
    <t>PREDAL-SEACOUSTIC</t>
  </si>
  <si>
    <t>C17</t>
  </si>
  <si>
    <t>C21</t>
  </si>
  <si>
    <t>C25</t>
  </si>
  <si>
    <t>.</t>
  </si>
  <si>
    <t>20</t>
  </si>
  <si>
    <t>REI</t>
  </si>
  <si>
    <t>ml</t>
  </si>
  <si>
    <t>kg/m²</t>
  </si>
  <si>
    <t>portée max</t>
  </si>
  <si>
    <t>montage</t>
  </si>
  <si>
    <t xml:space="preserve">etaiment </t>
  </si>
  <si>
    <t>501+250</t>
  </si>
  <si>
    <t>501+400</t>
  </si>
  <si>
    <t>937R</t>
  </si>
  <si>
    <t>choix tableaux polyst</t>
  </si>
  <si>
    <t xml:space="preserve">poids </t>
  </si>
  <si>
    <t>litrage</t>
  </si>
  <si>
    <t>litrage béton:</t>
  </si>
  <si>
    <t>portée</t>
  </si>
  <si>
    <t>poids</t>
  </si>
  <si>
    <t>151+400</t>
  </si>
  <si>
    <t>201+400</t>
  </si>
  <si>
    <t>AVEC ETAI</t>
  </si>
  <si>
    <t>SANS ETAI</t>
  </si>
  <si>
    <t>301+150</t>
  </si>
  <si>
    <t>301+250</t>
  </si>
  <si>
    <t>301+400</t>
  </si>
  <si>
    <t xml:space="preserve">SANS ETAI </t>
  </si>
  <si>
    <t xml:space="preserve">AVEC ETAI </t>
  </si>
  <si>
    <t>4..3</t>
  </si>
  <si>
    <t>JUMELAGE</t>
  </si>
  <si>
    <t>JUM</t>
  </si>
  <si>
    <t>simple</t>
  </si>
  <si>
    <t>jumelée</t>
  </si>
  <si>
    <t>avec etai</t>
  </si>
  <si>
    <t>sans etai</t>
  </si>
  <si>
    <t>poids du plancher fini:</t>
  </si>
  <si>
    <t xml:space="preserve">montage </t>
  </si>
  <si>
    <t>non fourni</t>
  </si>
  <si>
    <r>
      <t xml:space="preserve">        </t>
    </r>
    <r>
      <rPr>
        <b/>
        <u/>
        <sz val="14"/>
        <rFont val="Calibri"/>
        <family val="2"/>
        <scheme val="minor"/>
      </rPr>
      <t>planchers étages</t>
    </r>
  </si>
  <si>
    <t>REI30</t>
  </si>
  <si>
    <t>REI60</t>
  </si>
  <si>
    <t>MONTAGE</t>
  </si>
  <si>
    <t xml:space="preserve">AVEC  ETAI </t>
  </si>
  <si>
    <t>avec ETAI</t>
  </si>
  <si>
    <t>"non disponible"</t>
  </si>
  <si>
    <t>poutrelle</t>
  </si>
  <si>
    <t>Montage jumelée non proposé</t>
  </si>
  <si>
    <t>15+5 Polyseac</t>
  </si>
  <si>
    <t>[0]</t>
  </si>
  <si>
    <t>Els</t>
  </si>
  <si>
    <t>Php</t>
  </si>
  <si>
    <t>15+6 Polyseac</t>
  </si>
  <si>
    <t>15 + 7 Polyseac</t>
  </si>
  <si>
    <t>15 + 8 Polyseac</t>
  </si>
  <si>
    <t>"non disponible en 12"</t>
  </si>
  <si>
    <t>12+5</t>
  </si>
  <si>
    <t>12+6</t>
  </si>
  <si>
    <t>12+7</t>
  </si>
  <si>
    <t>12+8</t>
  </si>
  <si>
    <t>15+5</t>
  </si>
  <si>
    <t>15+6</t>
  </si>
  <si>
    <t>15+7</t>
  </si>
  <si>
    <t>15+8</t>
  </si>
  <si>
    <t>20+5</t>
  </si>
  <si>
    <t>20+6</t>
  </si>
  <si>
    <t>20+7</t>
  </si>
  <si>
    <t>20+8</t>
  </si>
  <si>
    <t>predim avec etai</t>
  </si>
  <si>
    <t>predim sans étai</t>
  </si>
  <si>
    <t>preco seac</t>
  </si>
  <si>
    <t>montage imposé</t>
  </si>
  <si>
    <t>SIMPLE</t>
  </si>
  <si>
    <t>__</t>
  </si>
  <si>
    <t>jum</t>
  </si>
  <si>
    <t>version 1-09-25</t>
  </si>
  <si>
    <t>C17+5</t>
  </si>
  <si>
    <t>C17+6</t>
  </si>
  <si>
    <t>C17+7</t>
  </si>
  <si>
    <t>C17+8</t>
  </si>
  <si>
    <t>C21+5</t>
  </si>
  <si>
    <t>C21+6</t>
  </si>
  <si>
    <t>C21+7</t>
  </si>
  <si>
    <t>C21+8</t>
  </si>
  <si>
    <t>C25+5</t>
  </si>
  <si>
    <t>C25+6</t>
  </si>
  <si>
    <t>C25+7</t>
  </si>
  <si>
    <t>C25+8</t>
  </si>
  <si>
    <t>predim REI30</t>
  </si>
  <si>
    <t>predim REI60</t>
  </si>
  <si>
    <t>portée maxi du plancher choisi :</t>
  </si>
  <si>
    <t>NOTA:</t>
  </si>
  <si>
    <t xml:space="preserve">un plancher REI 60 doit avoir </t>
  </si>
  <si>
    <t xml:space="preserve">une hauteur totale minimale </t>
  </si>
  <si>
    <t>table de compression + chape de 8 cm</t>
  </si>
  <si>
    <t>ep</t>
  </si>
  <si>
    <t xml:space="preserve"> épaisseur plancher :</t>
  </si>
  <si>
    <t>calculez la portée maxi d'un montage</t>
  </si>
  <si>
    <t xml:space="preserve">Aide à l'utilisation </t>
  </si>
  <si>
    <t>"portées du plancher</t>
  </si>
  <si>
    <t>"charges G et Q du projet</t>
  </si>
  <si>
    <t>"conditions d'étaiement</t>
  </si>
  <si>
    <t>"degrés coupe feu pour les étages</t>
  </si>
  <si>
    <t>Cet outil vous propose de déterminer et dimensionner  les différents type de plancher  POUTRELLE SEAC</t>
  </si>
  <si>
    <t xml:space="preserve">selon les hypothèses suivantes, </t>
  </si>
  <si>
    <t>"continuités possibles</t>
  </si>
  <si>
    <t>les calculs sont réalisés pour des conditions de revêtement fragile</t>
  </si>
  <si>
    <t xml:space="preserve">préconisation SEAC </t>
  </si>
  <si>
    <t>étai</t>
  </si>
  <si>
    <t>Predal-seacoustic</t>
  </si>
  <si>
    <t>51+150</t>
  </si>
  <si>
    <t>51+250</t>
  </si>
  <si>
    <t>51+400</t>
  </si>
  <si>
    <t>preco</t>
  </si>
  <si>
    <t>PREDAL SEACOUSTIC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</si>
</sst>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0;\(0\)"/>
    <numFmt numFmtId="165" formatCode="#,##0.00\ [$€];[Red]\-#,##0.00\ [$€]"/>
    <numFmt numFmtId="166" formatCode="_-* #,##0.00&quot; h/m²&quot;_-;\-* #,##0.00&quot; m²&quot;_-;_-* &quot;-&quot;??\ &quot;F&quot;_-;_-@_-"/>
    <numFmt numFmtId="167" formatCode="_-* #,##0.0&quot; kg/m²&quot;_-;\-* #,##0.0&quot; m²&quot;_-;_-* &quot;-&quot;??\ &quot;F&quot;_-;_-@_-"/>
    <numFmt numFmtId="168" formatCode="_-* #,##0.0&quot; l/m²&quot;_-;\-* #,##0.0&quot; l/m²&quot;_-;_-* &quot;-&quot;??\ &quot;F&quot;_-;_-@_-"/>
    <numFmt numFmtId="169" formatCode="_-* #,##0.0&quot; cm&quot;_-;\-* #,##0.0&quot; cm&quot;_-;_-* &quot;-&quot;??\ &quot;F&quot;_-;_-@_-"/>
  </numFmts>
  <fonts count="39" x14ac:knownFonts="1">
    <font>
      <sz val="10"/>
      <name val="MS Sans Serif"/>
    </font>
    <font>
      <b/>
      <sz val="10"/>
      <name val="MS Sans Serif"/>
    </font>
    <font>
      <sz val="10"/>
      <name val="MS Sans Serif"/>
      <family val="2"/>
    </font>
    <font>
      <sz val="10"/>
      <name val="Times New Roman"/>
      <family val="1"/>
    </font>
    <font>
      <b/>
      <sz val="10"/>
      <color indexed="8"/>
      <name val="MS Sans Serif"/>
      <family val="2"/>
    </font>
    <font>
      <sz val="8"/>
      <color indexed="8"/>
      <name val="MS Sans Serif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b/>
      <sz val="10"/>
      <color indexed="8"/>
      <name val="MS Sans Serif"/>
      <family val="2"/>
    </font>
    <font>
      <b/>
      <sz val="10"/>
      <name val="Times New Roman"/>
      <family val="1"/>
    </font>
    <font>
      <vertAlign val="subscript"/>
      <sz val="10"/>
      <name val="Times New Roman"/>
      <family val="1"/>
    </font>
    <font>
      <b/>
      <sz val="12"/>
      <color indexed="8"/>
      <name val="MS Sans Serif"/>
      <family val="2"/>
    </font>
    <font>
      <b/>
      <sz val="11"/>
      <name val="MS Sans Serif"/>
      <family val="2"/>
    </font>
    <font>
      <b/>
      <sz val="11"/>
      <color indexed="8"/>
      <name val="MS Sans Serif"/>
      <family val="2"/>
    </font>
    <font>
      <vertAlign val="subscript"/>
      <sz val="11"/>
      <name val="MS Sans Serif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color indexed="8"/>
      <name val="MS Sans Serif"/>
      <family val="2"/>
    </font>
    <font>
      <b/>
      <sz val="14"/>
      <name val="MS Sans Serif"/>
    </font>
    <font>
      <sz val="8"/>
      <color rgb="FF000000"/>
      <name val="Segoe UI"/>
      <family val="2"/>
    </font>
    <font>
      <sz val="10"/>
      <color theme="0" tint="-0.14999847407452621"/>
      <name val="MS Sans Serif"/>
    </font>
    <font>
      <b/>
      <sz val="14"/>
      <color theme="0" tint="-0.14999847407452621"/>
      <name val="MS Sans Serif"/>
    </font>
    <font>
      <b/>
      <sz val="12"/>
      <name val="MS Sans Serif"/>
    </font>
    <font>
      <b/>
      <sz val="10"/>
      <color rgb="FFC00000"/>
      <name val="Arial Black"/>
      <family val="2"/>
    </font>
    <font>
      <b/>
      <sz val="10"/>
      <name val="Arial Black"/>
      <family val="2"/>
    </font>
    <font>
      <b/>
      <sz val="16"/>
      <name val="MS Sans Serif"/>
    </font>
    <font>
      <sz val="8"/>
      <name val="MS Sans Serif"/>
    </font>
    <font>
      <b/>
      <sz val="12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0"/>
      <name val="MS Sans Serif"/>
    </font>
    <font>
      <b/>
      <sz val="14"/>
      <color rgb="FF00B050"/>
      <name val="Calibri"/>
      <family val="2"/>
      <scheme val="minor"/>
    </font>
    <font>
      <sz val="14"/>
      <color rgb="FF00B050"/>
      <name val="Calibri"/>
      <family val="2"/>
      <scheme val="minor"/>
    </font>
    <font>
      <sz val="10"/>
      <color theme="0"/>
      <name val="MS Sans Serif"/>
    </font>
    <font>
      <b/>
      <sz val="10"/>
      <color theme="0"/>
      <name val="MS Sans Serif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14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rgb="FF93F19E"/>
        <bgColor indexed="2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55"/>
      </left>
      <right/>
      <top style="thin">
        <color indexed="23"/>
      </top>
      <bottom style="thin">
        <color indexed="9"/>
      </bottom>
      <diagonal/>
    </border>
    <border>
      <left/>
      <right style="thin">
        <color indexed="55"/>
      </right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/>
      <bottom style="thin">
        <color indexed="8"/>
      </bottom>
      <diagonal/>
    </border>
    <border>
      <left/>
      <right style="thin">
        <color indexed="55"/>
      </right>
      <top style="thin">
        <color indexed="9"/>
      </top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hair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/>
      <diagonal/>
    </border>
    <border>
      <left style="thin">
        <color indexed="8"/>
      </left>
      <right style="thin">
        <color indexed="55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55"/>
      </left>
      <right/>
      <top style="thin">
        <color indexed="8"/>
      </top>
      <bottom style="thin">
        <color indexed="23"/>
      </bottom>
      <diagonal/>
    </border>
    <border>
      <left/>
      <right/>
      <top style="thin">
        <color indexed="8"/>
      </top>
      <bottom style="thin">
        <color indexed="23"/>
      </bottom>
      <diagonal/>
    </border>
    <border>
      <left/>
      <right style="thin">
        <color indexed="55"/>
      </right>
      <top style="thin">
        <color indexed="8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55"/>
      </left>
      <right/>
      <top style="thin">
        <color indexed="9"/>
      </top>
      <bottom style="thin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/>
      <right style="hair">
        <color indexed="55"/>
      </right>
      <top style="thin">
        <color indexed="9"/>
      </top>
      <bottom style="thin">
        <color indexed="8"/>
      </bottom>
      <diagonal/>
    </border>
    <border>
      <left/>
      <right style="thin">
        <color indexed="55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44" fontId="31" fillId="0" borderId="0" applyFont="0" applyFill="0" applyBorder="0" applyAlignment="0" applyProtection="0"/>
  </cellStyleXfs>
  <cellXfs count="163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2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" fontId="13" fillId="3" borderId="5" xfId="0" applyNumberFormat="1" applyFont="1" applyFill="1" applyBorder="1" applyAlignment="1">
      <alignment horizontal="center" vertical="center"/>
    </xf>
    <xf numFmtId="1" fontId="13" fillId="3" borderId="6" xfId="0" applyNumberFormat="1" applyFont="1" applyFill="1" applyBorder="1" applyAlignment="1">
      <alignment horizontal="center" vertical="center"/>
    </xf>
    <xf numFmtId="2" fontId="12" fillId="3" borderId="7" xfId="0" applyNumberFormat="1" applyFont="1" applyFill="1" applyBorder="1" applyAlignment="1">
      <alignment horizontal="center" vertical="center"/>
    </xf>
    <xf numFmtId="164" fontId="14" fillId="3" borderId="6" xfId="0" applyNumberFormat="1" applyFont="1" applyFill="1" applyBorder="1" applyAlignment="1">
      <alignment horizontal="center" vertical="center"/>
    </xf>
    <xf numFmtId="2" fontId="14" fillId="3" borderId="8" xfId="0" applyNumberFormat="1" applyFont="1" applyFill="1" applyBorder="1" applyAlignment="1">
      <alignment horizontal="center" vertical="center"/>
    </xf>
    <xf numFmtId="2" fontId="12" fillId="3" borderId="6" xfId="0" applyNumberFormat="1" applyFont="1" applyFill="1" applyBorder="1" applyAlignment="1">
      <alignment horizontal="center" vertical="center"/>
    </xf>
    <xf numFmtId="2" fontId="14" fillId="3" borderId="9" xfId="0" applyNumberFormat="1" applyFont="1" applyFill="1" applyBorder="1" applyAlignment="1">
      <alignment horizontal="center" vertical="center"/>
    </xf>
    <xf numFmtId="1" fontId="13" fillId="5" borderId="10" xfId="0" applyNumberFormat="1" applyFont="1" applyFill="1" applyBorder="1" applyAlignment="1">
      <alignment horizontal="center" vertical="center"/>
    </xf>
    <xf numFmtId="1" fontId="13" fillId="5" borderId="0" xfId="0" applyNumberFormat="1" applyFont="1" applyFill="1" applyAlignment="1">
      <alignment horizontal="center" vertical="center"/>
    </xf>
    <xf numFmtId="2" fontId="12" fillId="5" borderId="11" xfId="0" applyNumberFormat="1" applyFont="1" applyFill="1" applyBorder="1" applyAlignment="1">
      <alignment horizontal="center" vertical="center"/>
    </xf>
    <xf numFmtId="164" fontId="14" fillId="5" borderId="0" xfId="0" applyNumberFormat="1" applyFont="1" applyFill="1" applyAlignment="1">
      <alignment horizontal="center" vertical="center"/>
    </xf>
    <xf numFmtId="2" fontId="14" fillId="5" borderId="12" xfId="0" applyNumberFormat="1" applyFont="1" applyFill="1" applyBorder="1" applyAlignment="1">
      <alignment horizontal="center" vertical="center"/>
    </xf>
    <xf numFmtId="2" fontId="12" fillId="5" borderId="0" xfId="0" applyNumberFormat="1" applyFont="1" applyFill="1" applyAlignment="1">
      <alignment horizontal="center" vertical="center"/>
    </xf>
    <xf numFmtId="2" fontId="14" fillId="5" borderId="13" xfId="0" applyNumberFormat="1" applyFont="1" applyFill="1" applyBorder="1" applyAlignment="1">
      <alignment horizontal="center" vertical="center"/>
    </xf>
    <xf numFmtId="1" fontId="13" fillId="3" borderId="10" xfId="0" applyNumberFormat="1" applyFont="1" applyFill="1" applyBorder="1" applyAlignment="1">
      <alignment horizontal="center" vertical="center"/>
    </xf>
    <xf numFmtId="1" fontId="13" fillId="3" borderId="0" xfId="0" applyNumberFormat="1" applyFont="1" applyFill="1" applyAlignment="1">
      <alignment horizontal="center" vertical="center"/>
    </xf>
    <xf numFmtId="2" fontId="12" fillId="3" borderId="11" xfId="0" applyNumberFormat="1" applyFont="1" applyFill="1" applyBorder="1" applyAlignment="1">
      <alignment horizontal="center" vertical="center"/>
    </xf>
    <xf numFmtId="164" fontId="14" fillId="3" borderId="0" xfId="0" applyNumberFormat="1" applyFont="1" applyFill="1" applyAlignment="1">
      <alignment horizontal="center" vertical="center"/>
    </xf>
    <xf numFmtId="2" fontId="14" fillId="3" borderId="12" xfId="0" applyNumberFormat="1" applyFont="1" applyFill="1" applyBorder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2" fontId="14" fillId="3" borderId="13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5" borderId="14" xfId="0" applyFont="1" applyFill="1" applyBorder="1" applyAlignment="1">
      <alignment vertical="center" wrapText="1"/>
    </xf>
    <xf numFmtId="0" fontId="4" fillId="5" borderId="15" xfId="0" applyFont="1" applyFill="1" applyBorder="1" applyAlignment="1">
      <alignment vertical="center" wrapText="1"/>
    </xf>
    <xf numFmtId="0" fontId="4" fillId="5" borderId="16" xfId="0" applyFont="1" applyFill="1" applyBorder="1" applyAlignment="1">
      <alignment vertical="center" wrapText="1"/>
    </xf>
    <xf numFmtId="1" fontId="13" fillId="5" borderId="3" xfId="0" applyNumberFormat="1" applyFont="1" applyFill="1" applyBorder="1" applyAlignment="1">
      <alignment horizontal="center" vertical="center"/>
    </xf>
    <xf numFmtId="1" fontId="13" fillId="5" borderId="17" xfId="0" applyNumberFormat="1" applyFont="1" applyFill="1" applyBorder="1" applyAlignment="1">
      <alignment horizontal="center" vertical="center"/>
    </xf>
    <xf numFmtId="2" fontId="12" fillId="5" borderId="18" xfId="0" applyNumberFormat="1" applyFont="1" applyFill="1" applyBorder="1" applyAlignment="1">
      <alignment horizontal="center" vertical="center"/>
    </xf>
    <xf numFmtId="164" fontId="14" fillId="5" borderId="17" xfId="0" applyNumberFormat="1" applyFont="1" applyFill="1" applyBorder="1" applyAlignment="1">
      <alignment horizontal="center" vertical="center"/>
    </xf>
    <xf numFmtId="2" fontId="14" fillId="5" borderId="19" xfId="0" applyNumberFormat="1" applyFont="1" applyFill="1" applyBorder="1" applyAlignment="1">
      <alignment horizontal="center" vertical="center"/>
    </xf>
    <xf numFmtId="2" fontId="12" fillId="5" borderId="17" xfId="0" applyNumberFormat="1" applyFont="1" applyFill="1" applyBorder="1" applyAlignment="1">
      <alignment horizontal="center" vertical="center"/>
    </xf>
    <xf numFmtId="2" fontId="14" fillId="5" borderId="20" xfId="0" applyNumberFormat="1" applyFont="1" applyFill="1" applyBorder="1" applyAlignment="1">
      <alignment horizontal="center" vertical="center"/>
    </xf>
    <xf numFmtId="1" fontId="17" fillId="0" borderId="6" xfId="0" applyNumberFormat="1" applyFont="1" applyBorder="1" applyAlignment="1">
      <alignment horizontal="left" vertical="center"/>
    </xf>
    <xf numFmtId="0" fontId="0" fillId="0" borderId="0" xfId="0" applyAlignment="1">
      <alignment horizontal="center"/>
    </xf>
    <xf numFmtId="2" fontId="1" fillId="9" borderId="30" xfId="0" applyNumberFormat="1" applyFont="1" applyFill="1" applyBorder="1" applyAlignment="1" applyProtection="1">
      <alignment horizontal="center" vertical="center"/>
      <protection locked="0" hidden="1"/>
    </xf>
    <xf numFmtId="0" fontId="1" fillId="9" borderId="30" xfId="0" applyFont="1" applyFill="1" applyBorder="1" applyAlignment="1" applyProtection="1">
      <alignment horizontal="center" vertical="center"/>
      <protection locked="0" hidden="1"/>
    </xf>
    <xf numFmtId="0" fontId="0" fillId="6" borderId="35" xfId="0" applyFill="1" applyBorder="1" applyProtection="1">
      <protection hidden="1"/>
    </xf>
    <xf numFmtId="0" fontId="0" fillId="6" borderId="36" xfId="0" applyFill="1" applyBorder="1" applyProtection="1">
      <protection hidden="1"/>
    </xf>
    <xf numFmtId="0" fontId="0" fillId="6" borderId="36" xfId="0" applyFill="1" applyBorder="1" applyAlignment="1" applyProtection="1">
      <alignment horizontal="center"/>
      <protection hidden="1"/>
    </xf>
    <xf numFmtId="0" fontId="0" fillId="6" borderId="37" xfId="0" applyFill="1" applyBorder="1" applyProtection="1">
      <protection hidden="1"/>
    </xf>
    <xf numFmtId="0" fontId="0" fillId="6" borderId="38" xfId="0" applyFill="1" applyBorder="1" applyProtection="1">
      <protection hidden="1"/>
    </xf>
    <xf numFmtId="0" fontId="0" fillId="6" borderId="0" xfId="0" applyFill="1" applyProtection="1">
      <protection hidden="1"/>
    </xf>
    <xf numFmtId="0" fontId="0" fillId="6" borderId="0" xfId="0" applyFill="1" applyAlignment="1" applyProtection="1">
      <alignment horizontal="center"/>
      <protection hidden="1"/>
    </xf>
    <xf numFmtId="0" fontId="0" fillId="6" borderId="39" xfId="0" applyFill="1" applyBorder="1" applyProtection="1">
      <protection hidden="1"/>
    </xf>
    <xf numFmtId="0" fontId="30" fillId="6" borderId="0" xfId="0" applyFont="1" applyFill="1" applyProtection="1">
      <protection hidden="1"/>
    </xf>
    <xf numFmtId="0" fontId="29" fillId="6" borderId="0" xfId="0" applyFont="1" applyFill="1" applyProtection="1">
      <protection hidden="1"/>
    </xf>
    <xf numFmtId="0" fontId="22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right"/>
      <protection hidden="1"/>
    </xf>
    <xf numFmtId="0" fontId="0" fillId="6" borderId="0" xfId="0" applyFill="1" applyAlignment="1" applyProtection="1">
      <alignment horizontal="right"/>
      <protection hidden="1"/>
    </xf>
    <xf numFmtId="0" fontId="1" fillId="6" borderId="0" xfId="0" applyFont="1" applyFill="1" applyProtection="1">
      <protection hidden="1"/>
    </xf>
    <xf numFmtId="0" fontId="1" fillId="6" borderId="0" xfId="0" applyFont="1" applyFill="1" applyAlignment="1" applyProtection="1">
      <alignment horizontal="center"/>
      <protection hidden="1"/>
    </xf>
    <xf numFmtId="0" fontId="28" fillId="6" borderId="0" xfId="0" applyFont="1" applyFill="1" applyProtection="1">
      <protection hidden="1"/>
    </xf>
    <xf numFmtId="0" fontId="23" fillId="6" borderId="0" xfId="0" applyFont="1" applyFill="1" applyAlignment="1" applyProtection="1">
      <alignment horizontal="center"/>
      <protection hidden="1"/>
    </xf>
    <xf numFmtId="0" fontId="27" fillId="7" borderId="34" xfId="0" applyFont="1" applyFill="1" applyBorder="1" applyAlignment="1" applyProtection="1">
      <alignment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20" fillId="6" borderId="0" xfId="0" applyFont="1" applyFill="1" applyProtection="1">
      <protection hidden="1"/>
    </xf>
    <xf numFmtId="167" fontId="1" fillId="7" borderId="0" xfId="0" applyNumberFormat="1" applyFont="1" applyFill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0" fillId="7" borderId="34" xfId="0" applyFill="1" applyBorder="1" applyProtection="1">
      <protection hidden="1"/>
    </xf>
    <xf numFmtId="168" fontId="1" fillId="7" borderId="0" xfId="0" applyNumberFormat="1" applyFont="1" applyFill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left"/>
      <protection hidden="1"/>
    </xf>
    <xf numFmtId="49" fontId="18" fillId="6" borderId="0" xfId="0" applyNumberFormat="1" applyFont="1" applyFill="1" applyAlignment="1" applyProtection="1">
      <alignment horizontal="center"/>
      <protection hidden="1"/>
    </xf>
    <xf numFmtId="0" fontId="20" fillId="6" borderId="38" xfId="0" applyFont="1" applyFill="1" applyBorder="1" applyProtection="1">
      <protection hidden="1"/>
    </xf>
    <xf numFmtId="0" fontId="0" fillId="6" borderId="0" xfId="0" applyFill="1" applyAlignment="1" applyProtection="1">
      <alignment horizontal="left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0" fontId="20" fillId="6" borderId="0" xfId="0" applyFont="1" applyFill="1" applyAlignment="1" applyProtection="1">
      <alignment horizontal="center"/>
      <protection hidden="1"/>
    </xf>
    <xf numFmtId="0" fontId="0" fillId="10" borderId="34" xfId="0" applyFill="1" applyBorder="1" applyProtection="1">
      <protection hidden="1"/>
    </xf>
    <xf numFmtId="0" fontId="0" fillId="10" borderId="0" xfId="0" applyFill="1" applyAlignment="1" applyProtection="1">
      <alignment horizontal="center"/>
      <protection hidden="1"/>
    </xf>
    <xf numFmtId="0" fontId="0" fillId="10" borderId="0" xfId="0" applyFill="1" applyProtection="1">
      <protection hidden="1"/>
    </xf>
    <xf numFmtId="0" fontId="0" fillId="10" borderId="0" xfId="0" applyFill="1" applyAlignment="1" applyProtection="1">
      <alignment horizontal="right"/>
      <protection hidden="1"/>
    </xf>
    <xf numFmtId="167" fontId="0" fillId="10" borderId="0" xfId="0" applyNumberFormat="1" applyFill="1" applyAlignment="1" applyProtection="1">
      <alignment horizontal="center"/>
      <protection hidden="1"/>
    </xf>
    <xf numFmtId="168" fontId="0" fillId="10" borderId="0" xfId="0" applyNumberFormat="1" applyFill="1" applyAlignment="1" applyProtection="1">
      <alignment horizontal="center"/>
      <protection hidden="1"/>
    </xf>
    <xf numFmtId="0" fontId="0" fillId="6" borderId="40" xfId="0" applyFill="1" applyBorder="1" applyProtection="1">
      <protection hidden="1"/>
    </xf>
    <xf numFmtId="0" fontId="0" fillId="6" borderId="41" xfId="0" applyFill="1" applyBorder="1" applyProtection="1">
      <protection hidden="1"/>
    </xf>
    <xf numFmtId="0" fontId="0" fillId="6" borderId="41" xfId="0" applyFill="1" applyBorder="1" applyAlignment="1" applyProtection="1">
      <alignment horizontal="center"/>
      <protection hidden="1"/>
    </xf>
    <xf numFmtId="0" fontId="0" fillId="6" borderId="42" xfId="0" applyFill="1" applyBorder="1" applyProtection="1">
      <protection hidden="1"/>
    </xf>
    <xf numFmtId="0" fontId="22" fillId="9" borderId="30" xfId="0" applyFont="1" applyFill="1" applyBorder="1" applyAlignment="1" applyProtection="1">
      <alignment horizontal="center" vertical="center"/>
      <protection locked="0" hidden="1"/>
    </xf>
    <xf numFmtId="0" fontId="24" fillId="8" borderId="30" xfId="0" applyFont="1" applyFill="1" applyBorder="1" applyAlignment="1" applyProtection="1">
      <alignment horizontal="center"/>
      <protection locked="0" hidden="1"/>
    </xf>
    <xf numFmtId="0" fontId="34" fillId="7" borderId="34" xfId="0" applyFont="1" applyFill="1" applyBorder="1" applyProtection="1">
      <protection hidden="1"/>
    </xf>
    <xf numFmtId="0" fontId="34" fillId="7" borderId="0" xfId="0" applyFont="1" applyFill="1" applyProtection="1">
      <protection hidden="1"/>
    </xf>
    <xf numFmtId="169" fontId="35" fillId="7" borderId="0" xfId="0" applyNumberFormat="1" applyFont="1" applyFill="1" applyAlignment="1" applyProtection="1">
      <alignment horizontal="center"/>
      <protection hidden="1"/>
    </xf>
    <xf numFmtId="0" fontId="0" fillId="11" borderId="0" xfId="0" applyFill="1"/>
    <xf numFmtId="0" fontId="36" fillId="11" borderId="0" xfId="0" applyFont="1" applyFill="1"/>
    <xf numFmtId="0" fontId="37" fillId="11" borderId="0" xfId="0" applyFont="1" applyFill="1"/>
    <xf numFmtId="0" fontId="1" fillId="11" borderId="0" xfId="0" applyFont="1" applyFill="1"/>
    <xf numFmtId="0" fontId="38" fillId="11" borderId="0" xfId="0" applyFont="1" applyFill="1"/>
    <xf numFmtId="0" fontId="0" fillId="7" borderId="0" xfId="0" applyFill="1"/>
    <xf numFmtId="0" fontId="1" fillId="7" borderId="0" xfId="0" applyFont="1" applyFill="1"/>
    <xf numFmtId="0" fontId="25" fillId="7" borderId="0" xfId="0" applyFont="1" applyFill="1"/>
    <xf numFmtId="0" fontId="0" fillId="7" borderId="29" xfId="0" applyFill="1" applyBorder="1"/>
    <xf numFmtId="2" fontId="0" fillId="7" borderId="0" xfId="0" applyNumberFormat="1" applyFill="1"/>
    <xf numFmtId="49" fontId="0" fillId="7" borderId="0" xfId="0" applyNumberFormat="1" applyFill="1"/>
    <xf numFmtId="0" fontId="1" fillId="7" borderId="43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8" fillId="0" borderId="0" xfId="0" applyFont="1"/>
    <xf numFmtId="0" fontId="1" fillId="0" borderId="0" xfId="0" applyFont="1"/>
    <xf numFmtId="0" fontId="0" fillId="0" borderId="29" xfId="0" applyBorder="1"/>
    <xf numFmtId="2" fontId="0" fillId="0" borderId="0" xfId="0" applyNumberFormat="1"/>
    <xf numFmtId="49" fontId="0" fillId="0" borderId="0" xfId="0" applyNumberFormat="1"/>
    <xf numFmtId="0" fontId="1" fillId="0" borderId="2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12" borderId="0" xfId="0" applyFill="1"/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49" fontId="0" fillId="0" borderId="0" xfId="0" applyNumberFormat="1" applyProtection="1">
      <protection locked="0"/>
    </xf>
    <xf numFmtId="166" fontId="0" fillId="0" borderId="0" xfId="2" applyNumberFormat="1" applyFont="1" applyFill="1" applyBorder="1" applyAlignment="1" applyProtection="1">
      <alignment horizontal="center" vertical="center"/>
      <protection locked="0"/>
    </xf>
    <xf numFmtId="0" fontId="35" fillId="7" borderId="0" xfId="0" applyFont="1" applyFill="1" applyAlignment="1" applyProtection="1">
      <alignment horizontal="center"/>
      <protection hidden="1"/>
    </xf>
    <xf numFmtId="2" fontId="27" fillId="10" borderId="29" xfId="0" applyNumberFormat="1" applyFont="1" applyFill="1" applyBorder="1" applyAlignment="1" applyProtection="1">
      <alignment horizontal="center"/>
      <protection hidden="1"/>
    </xf>
    <xf numFmtId="0" fontId="32" fillId="7" borderId="30" xfId="0" applyFont="1" applyFill="1" applyBorder="1" applyAlignment="1" applyProtection="1">
      <alignment horizontal="center" vertical="center"/>
      <protection hidden="1"/>
    </xf>
    <xf numFmtId="0" fontId="32" fillId="7" borderId="33" xfId="0" applyFont="1" applyFill="1" applyBorder="1" applyAlignment="1" applyProtection="1">
      <alignment horizontal="center" vertical="center"/>
      <protection hidden="1"/>
    </xf>
    <xf numFmtId="0" fontId="1" fillId="7" borderId="0" xfId="0" applyFont="1" applyFill="1" applyAlignment="1" applyProtection="1">
      <alignment horizontal="center" vertical="center"/>
      <protection hidden="1"/>
    </xf>
    <xf numFmtId="0" fontId="33" fillId="10" borderId="30" xfId="0" applyFont="1" applyFill="1" applyBorder="1" applyAlignment="1" applyProtection="1">
      <alignment horizontal="center"/>
      <protection hidden="1"/>
    </xf>
    <xf numFmtId="0" fontId="33" fillId="10" borderId="33" xfId="0" applyFont="1" applyFill="1" applyBorder="1" applyAlignment="1" applyProtection="1">
      <alignment horizontal="center"/>
      <protection hidden="1"/>
    </xf>
    <xf numFmtId="0" fontId="0" fillId="10" borderId="0" xfId="0" applyFill="1" applyAlignment="1" applyProtection="1">
      <alignment horizontal="center"/>
      <protection hidden="1"/>
    </xf>
    <xf numFmtId="0" fontId="28" fillId="6" borderId="0" xfId="0" applyFont="1" applyFill="1" applyAlignment="1" applyProtection="1">
      <alignment horizontal="center"/>
      <protection hidden="1"/>
    </xf>
    <xf numFmtId="0" fontId="22" fillId="6" borderId="0" xfId="0" applyFont="1" applyFill="1" applyProtection="1">
      <protection hidden="1"/>
    </xf>
    <xf numFmtId="0" fontId="1" fillId="7" borderId="0" xfId="0" applyFont="1" applyFill="1" applyAlignment="1" applyProtection="1">
      <alignment horizontal="right"/>
      <protection hidden="1"/>
    </xf>
    <xf numFmtId="0" fontId="1" fillId="7" borderId="34" xfId="0" applyFont="1" applyFill="1" applyBorder="1" applyAlignment="1" applyProtection="1">
      <alignment horizontal="right"/>
      <protection hidden="1"/>
    </xf>
    <xf numFmtId="0" fontId="0" fillId="7" borderId="0" xfId="0" applyFill="1" applyAlignment="1">
      <alignment horizontal="center"/>
    </xf>
    <xf numFmtId="0" fontId="0" fillId="7" borderId="31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2" fontId="0" fillId="0" borderId="31" xfId="0" applyNumberFormat="1" applyBorder="1" applyAlignment="1">
      <alignment horizontal="center"/>
    </xf>
    <xf numFmtId="2" fontId="0" fillId="0" borderId="32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0" fontId="8" fillId="2" borderId="25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</cellXfs>
  <cellStyles count="3">
    <cellStyle name="Euro" xfId="1" xr:uid="{8CA87A4E-15C9-4143-8739-7560ED94D2F1}"/>
    <cellStyle name="Monétaire" xfId="2" builtinId="4"/>
    <cellStyle name="Normal" xfId="0" builtinId="0"/>
  </cellStyles>
  <dxfs count="11">
    <dxf>
      <font>
        <color rgb="FFFF0000"/>
      </font>
    </dxf>
    <dxf>
      <font>
        <color theme="9" tint="0.59996337778862885"/>
      </font>
      <fill>
        <patternFill>
          <bgColor theme="9" tint="0.59996337778862885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</dxf>
    <dxf>
      <font>
        <b/>
        <i val="0"/>
        <color rgb="FFFF0000"/>
      </font>
    </dxf>
    <dxf>
      <font>
        <color theme="1"/>
      </font>
    </dxf>
    <dxf>
      <fill>
        <patternFill>
          <bgColor theme="6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FED7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9999FF"/>
      <rgbColor rgb="00993366"/>
      <rgbColor rgb="00FFFED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AB7D"/>
      <rgbColor rgb="00FFFF99"/>
      <rgbColor rgb="0099CCFF"/>
      <rgbColor rgb="00E1FFFF"/>
      <rgbColor rgb="00CC99FF"/>
      <rgbColor rgb="00FFCC99"/>
      <rgbColor rgb="003366FF"/>
      <rgbColor rgb="0033CCCC"/>
      <rgbColor rgb="0099CC00"/>
      <rgbColor rgb="00FFCC00"/>
      <rgbColor rgb="00010000"/>
      <rgbColor rgb="00FF6600"/>
      <rgbColor rgb="00666699"/>
      <rgbColor rgb="005F5F5F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FF"/>
      <color rgb="FFFFFF99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12.xml><?xml version="1.0" encoding="utf-8"?>
<formControlPr xmlns="http://schemas.microsoft.com/office/spreadsheetml/2009/9/main" objectType="Radio" lockText="1"/>
</file>

<file path=xl/ctrlProps/ctrlProp13.xml><?xml version="1.0" encoding="utf-8"?>
<formControlPr xmlns="http://schemas.microsoft.com/office/spreadsheetml/2009/9/main" objectType="Radio" checked="Checked" firstButton="1" fmlaLink="$AC$17" lockText="1"/>
</file>

<file path=xl/ctrlProps/ctrlProp14.xml><?xml version="1.0" encoding="utf-8"?>
<formControlPr xmlns="http://schemas.microsoft.com/office/spreadsheetml/2009/9/main" objectType="Radio" lockText="1"/>
</file>

<file path=xl/ctrlProps/ctrlProp15.xml><?xml version="1.0" encoding="utf-8"?>
<formControlPr xmlns="http://schemas.microsoft.com/office/spreadsheetml/2009/9/main" objectType="CheckBox" fmlaLink="$AC$20" lockText="1"/>
</file>

<file path=xl/ctrlProps/ctrlProp2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Radio" checked="Checked" firstButton="1" fmlaLink="$AC$22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Radio" checked="Checked" firstButton="1" fmlaLink="$AC$15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IDE!A1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10" Type="http://schemas.openxmlformats.org/officeDocument/2006/relationships/hyperlink" Target="mailto:commerce@sac-guiraud.fr?subject=demande%20dimensionnement%20plancher%20" TargetMode="External"/><Relationship Id="rId4" Type="http://schemas.openxmlformats.org/officeDocument/2006/relationships/image" Target="../media/image5.png"/><Relationship Id="rId9" Type="http://schemas.openxmlformats.org/officeDocument/2006/relationships/hyperlink" Target="#descriptif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8.png"/><Relationship Id="rId18" Type="http://schemas.openxmlformats.org/officeDocument/2006/relationships/hyperlink" Target="https://www.seac-gf.fr/nos-produits/planchers-poutrelles/plastivs" TargetMode="External"/><Relationship Id="rId3" Type="http://schemas.microsoft.com/office/2007/relationships/hdphoto" Target="../media/hdphoto1.wdp"/><Relationship Id="rId7" Type="http://schemas.openxmlformats.org/officeDocument/2006/relationships/hyperlink" Target="https://www.seac-gf.fr/nos-produits/planchers-poutrelles/entrevous-bois-seac/ebsdalle-flottante" TargetMode="External"/><Relationship Id="rId12" Type="http://schemas.microsoft.com/office/2007/relationships/hdphoto" Target="../media/hdphoto3.wdp"/><Relationship Id="rId17" Type="http://schemas.openxmlformats.org/officeDocument/2006/relationships/image" Target="../media/image15.png"/><Relationship Id="rId2" Type="http://schemas.openxmlformats.org/officeDocument/2006/relationships/image" Target="../media/image10.png"/><Relationship Id="rId16" Type="http://schemas.microsoft.com/office/2007/relationships/hdphoto" Target="../media/hdphoto4.wdp"/><Relationship Id="rId20" Type="http://schemas.microsoft.com/office/2007/relationships/hdphoto" Target="../media/hdphoto5.wdp"/><Relationship Id="rId1" Type="http://schemas.openxmlformats.org/officeDocument/2006/relationships/hyperlink" Target="https://www.seac-gf.fr/nos-produits/structure-precontrainte/seacisol" TargetMode="External"/><Relationship Id="rId6" Type="http://schemas.openxmlformats.org/officeDocument/2006/relationships/image" Target="../media/image11.png"/><Relationship Id="rId11" Type="http://schemas.openxmlformats.org/officeDocument/2006/relationships/image" Target="../media/image13.png"/><Relationship Id="rId5" Type="http://schemas.openxmlformats.org/officeDocument/2006/relationships/hyperlink" Target="https://www.seac-gf.fr/nos-produits/structure-precontrainte/predal-seacoustic" TargetMode="External"/><Relationship Id="rId15" Type="http://schemas.openxmlformats.org/officeDocument/2006/relationships/image" Target="../media/image14.png"/><Relationship Id="rId10" Type="http://schemas.openxmlformats.org/officeDocument/2006/relationships/hyperlink" Target="https://www.seac-gf.fr/nos-produits/planchers-poutrelles/plancher-isolant/entrevous-polyseac-moule" TargetMode="External"/><Relationship Id="rId19" Type="http://schemas.openxmlformats.org/officeDocument/2006/relationships/image" Target="../media/image16.png"/><Relationship Id="rId4" Type="http://schemas.openxmlformats.org/officeDocument/2006/relationships/hyperlink" Target="#DIM!A1"/><Relationship Id="rId9" Type="http://schemas.microsoft.com/office/2007/relationships/hdphoto" Target="../media/hdphoto2.wdp"/><Relationship Id="rId14" Type="http://schemas.openxmlformats.org/officeDocument/2006/relationships/hyperlink" Target="https://www.seac-gf.fr/nos-produits/planchers-poutrelles/seacoustic/seacoustic-3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#DIM!A1"/><Relationship Id="rId1" Type="http://schemas.openxmlformats.org/officeDocument/2006/relationships/image" Target="../media/image17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638175</xdr:colOff>
          <xdr:row>21</xdr:row>
          <xdr:rowOff>0</xdr:rowOff>
        </xdr:from>
        <xdr:to>
          <xdr:col>14</xdr:col>
          <xdr:colOff>95250</xdr:colOff>
          <xdr:row>22</xdr:row>
          <xdr:rowOff>85725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8</xdr:col>
      <xdr:colOff>34278</xdr:colOff>
      <xdr:row>9</xdr:row>
      <xdr:rowOff>86819</xdr:rowOff>
    </xdr:from>
    <xdr:to>
      <xdr:col>8</xdr:col>
      <xdr:colOff>758178</xdr:colOff>
      <xdr:row>13</xdr:row>
      <xdr:rowOff>127073</xdr:rowOff>
    </xdr:to>
    <xdr:pic>
      <xdr:nvPicPr>
        <xdr:cNvPr id="2444" name="Image 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726" y="1663371"/>
          <a:ext cx="723900" cy="578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112778</xdr:colOff>
      <xdr:row>9</xdr:row>
      <xdr:rowOff>64077</xdr:rowOff>
    </xdr:from>
    <xdr:to>
      <xdr:col>9</xdr:col>
      <xdr:colOff>823690</xdr:colOff>
      <xdr:row>13</xdr:row>
      <xdr:rowOff>150669</xdr:rowOff>
    </xdr:to>
    <xdr:pic>
      <xdr:nvPicPr>
        <xdr:cNvPr id="2446" name="Image 2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2623" y="1640629"/>
          <a:ext cx="710912" cy="625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638175</xdr:colOff>
          <xdr:row>21</xdr:row>
          <xdr:rowOff>0</xdr:rowOff>
        </xdr:from>
        <xdr:to>
          <xdr:col>12</xdr:col>
          <xdr:colOff>95250</xdr:colOff>
          <xdr:row>22</xdr:row>
          <xdr:rowOff>85725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29</a:t>
              </a:r>
            </a:p>
          </xdr:txBody>
        </xdr:sp>
        <xdr:clientData/>
      </xdr:twoCellAnchor>
    </mc:Choice>
    <mc:Fallback/>
  </mc:AlternateContent>
  <xdr:twoCellAnchor editAs="oneCell">
    <xdr:from>
      <xdr:col>7</xdr:col>
      <xdr:colOff>93160</xdr:colOff>
      <xdr:row>9</xdr:row>
      <xdr:rowOff>70837</xdr:rowOff>
    </xdr:from>
    <xdr:to>
      <xdr:col>7</xdr:col>
      <xdr:colOff>845635</xdr:colOff>
      <xdr:row>13</xdr:row>
      <xdr:rowOff>144310</xdr:rowOff>
    </xdr:to>
    <xdr:pic>
      <xdr:nvPicPr>
        <xdr:cNvPr id="2448" name="Image 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832" y="1647389"/>
          <a:ext cx="752475" cy="61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87456</xdr:colOff>
      <xdr:row>9</xdr:row>
      <xdr:rowOff>87397</xdr:rowOff>
    </xdr:from>
    <xdr:to>
      <xdr:col>11</xdr:col>
      <xdr:colOff>649432</xdr:colOff>
      <xdr:row>13</xdr:row>
      <xdr:rowOff>146701</xdr:rowOff>
    </xdr:to>
    <xdr:pic>
      <xdr:nvPicPr>
        <xdr:cNvPr id="2449" name="Image 2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0680" y="1663949"/>
          <a:ext cx="837873" cy="597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69314</xdr:colOff>
          <xdr:row>15</xdr:row>
          <xdr:rowOff>129908</xdr:rowOff>
        </xdr:from>
        <xdr:to>
          <xdr:col>19</xdr:col>
          <xdr:colOff>25153</xdr:colOff>
          <xdr:row>17</xdr:row>
          <xdr:rowOff>54570</xdr:rowOff>
        </xdr:to>
        <xdr:grpSp>
          <xdr:nvGrpSpPr>
            <xdr:cNvPr id="6" name="Groupe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GrpSpPr/>
          </xdr:nvGrpSpPr>
          <xdr:grpSpPr>
            <a:xfrm>
              <a:off x="12261314" y="2564075"/>
              <a:ext cx="1194089" cy="242162"/>
              <a:chOff x="9216767" y="3526838"/>
              <a:chExt cx="1415761" cy="329042"/>
            </a:xfrm>
          </xdr:grpSpPr>
          <xdr:sp macro="" textlink="">
            <xdr:nvSpPr>
              <xdr:cNvPr id="2107" name="Group Box 59" hidden="1">
                <a:extLst>
                  <a:ext uri="{63B3BB69-23CF-44E3-9099-C40C66FF867C}">
                    <a14:compatExt spid="_x0000_s2107"/>
                  </a:ext>
                  <a:ext uri="{FF2B5EF4-FFF2-40B4-BE49-F238E27FC236}">
                    <a16:creationId xmlns:a16="http://schemas.microsoft.com/office/drawing/2014/main" id="{00000000-0008-0000-0000-00003B080000}"/>
                  </a:ext>
                </a:extLst>
              </xdr:cNvPr>
              <xdr:cNvSpPr/>
            </xdr:nvSpPr>
            <xdr:spPr bwMode="auto">
              <a:xfrm>
                <a:off x="9216767" y="3526838"/>
                <a:ext cx="1415761" cy="329042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  <xdr:grpSp>
            <xdr:nvGrpSpPr>
              <xdr:cNvPr id="2451" name="Groupe 10">
                <a:extLst>
                  <a:ext uri="{FF2B5EF4-FFF2-40B4-BE49-F238E27FC236}">
                    <a16:creationId xmlns:a16="http://schemas.microsoft.com/office/drawing/2014/main" id="{00000000-0008-0000-0000-00009309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9388403" y="3593567"/>
                <a:ext cx="1130010" cy="221649"/>
                <a:chOff x="9387344" y="3575356"/>
                <a:chExt cx="1136760" cy="224454"/>
              </a:xfrm>
            </xdr:grpSpPr>
            <xdr:sp macro="" textlink="">
              <xdr:nvSpPr>
                <xdr:cNvPr id="2396" name="Option Button 348" hidden="1">
                  <a:extLst>
                    <a:ext uri="{63B3BB69-23CF-44E3-9099-C40C66FF867C}">
                      <a14:compatExt spid="_x0000_s2396"/>
                    </a:ext>
                    <a:ext uri="{FF2B5EF4-FFF2-40B4-BE49-F238E27FC236}">
                      <a16:creationId xmlns:a16="http://schemas.microsoft.com/office/drawing/2014/main" id="{00000000-0008-0000-0000-00005C090000}"/>
                    </a:ext>
                  </a:extLst>
                </xdr:cNvPr>
                <xdr:cNvSpPr/>
              </xdr:nvSpPr>
              <xdr:spPr bwMode="auto">
                <a:xfrm>
                  <a:off x="9387344" y="3580726"/>
                  <a:ext cx="304801" cy="21908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398" name="Option Button 350" hidden="1">
                  <a:extLst>
                    <a:ext uri="{63B3BB69-23CF-44E3-9099-C40C66FF867C}">
                      <a14:compatExt spid="_x0000_s2398"/>
                    </a:ext>
                    <a:ext uri="{FF2B5EF4-FFF2-40B4-BE49-F238E27FC236}">
                      <a16:creationId xmlns:a16="http://schemas.microsoft.com/office/drawing/2014/main" id="{00000000-0008-0000-0000-00005E090000}"/>
                    </a:ext>
                  </a:extLst>
                </xdr:cNvPr>
                <xdr:cNvSpPr/>
              </xdr:nvSpPr>
              <xdr:spPr bwMode="auto">
                <a:xfrm>
                  <a:off x="10219302" y="3575356"/>
                  <a:ext cx="304802" cy="213287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FFFF" mc:Ignorable="a14" a14:legacySpreadsheetColorIndex="65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92249</xdr:colOff>
          <xdr:row>26</xdr:row>
          <xdr:rowOff>39155</xdr:rowOff>
        </xdr:from>
        <xdr:to>
          <xdr:col>11</xdr:col>
          <xdr:colOff>383381</xdr:colOff>
          <xdr:row>36</xdr:row>
          <xdr:rowOff>54650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" spid="_x0000_s3043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970666" y="4600572"/>
              <a:ext cx="3296798" cy="2036911"/>
            </a:xfrm>
            <a:prstGeom prst="rect">
              <a:avLst/>
            </a:prstGeom>
            <a:noFill/>
            <a:effectLst>
              <a:outerShdw blurRad="88900" dist="101600" dir="2700000" algn="tl" rotWithShape="0">
                <a:prstClr val="black">
                  <a:alpha val="40000"/>
                </a:prstClr>
              </a:outerShdw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685800</xdr:colOff>
          <xdr:row>7</xdr:row>
          <xdr:rowOff>142875</xdr:rowOff>
        </xdr:from>
        <xdr:to>
          <xdr:col>12</xdr:col>
          <xdr:colOff>142875</xdr:colOff>
          <xdr:row>24</xdr:row>
          <xdr:rowOff>95250</xdr:rowOff>
        </xdr:to>
        <xdr:sp macro="" textlink="">
          <xdr:nvSpPr>
            <xdr:cNvPr id="2279" name="Group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308137</xdr:colOff>
          <xdr:row>13</xdr:row>
          <xdr:rowOff>156345</xdr:rowOff>
        </xdr:from>
        <xdr:to>
          <xdr:col>11</xdr:col>
          <xdr:colOff>445858</xdr:colOff>
          <xdr:row>23</xdr:row>
          <xdr:rowOff>69940</xdr:rowOff>
        </xdr:to>
        <xdr:grpSp>
          <xdr:nvGrpSpPr>
            <xdr:cNvPr id="7" name="Groupe 6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GrpSpPr/>
          </xdr:nvGrpSpPr>
          <xdr:grpSpPr>
            <a:xfrm>
              <a:off x="4996554" y="2220095"/>
              <a:ext cx="3143387" cy="1797428"/>
              <a:chOff x="2644578" y="4465460"/>
              <a:chExt cx="3189950" cy="1432221"/>
            </a:xfrm>
          </xdr:grpSpPr>
          <xdr:sp macro="" textlink="">
            <xdr:nvSpPr>
              <xdr:cNvPr id="2275" name="Option Button 227" hidden="1">
                <a:extLst>
                  <a:ext uri="{63B3BB69-23CF-44E3-9099-C40C66FF867C}">
                    <a14:compatExt spid="_x0000_s2275"/>
                  </a:ext>
                  <a:ext uri="{FF2B5EF4-FFF2-40B4-BE49-F238E27FC236}">
                    <a16:creationId xmlns:a16="http://schemas.microsoft.com/office/drawing/2014/main" id="{00000000-0008-0000-0000-0000E3080000}"/>
                  </a:ext>
                </a:extLst>
              </xdr:cNvPr>
              <xdr:cNvSpPr/>
            </xdr:nvSpPr>
            <xdr:spPr bwMode="auto">
              <a:xfrm>
                <a:off x="2644578" y="4467316"/>
                <a:ext cx="305082" cy="1640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6" name="Option Button 228" hidden="1">
                <a:extLst>
                  <a:ext uri="{63B3BB69-23CF-44E3-9099-C40C66FF867C}">
                    <a14:compatExt spid="_x0000_s2276"/>
                  </a:ext>
                  <a:ext uri="{FF2B5EF4-FFF2-40B4-BE49-F238E27FC236}">
                    <a16:creationId xmlns:a16="http://schemas.microsoft.com/office/drawing/2014/main" id="{00000000-0008-0000-0000-0000E4080000}"/>
                  </a:ext>
                </a:extLst>
              </xdr:cNvPr>
              <xdr:cNvSpPr/>
            </xdr:nvSpPr>
            <xdr:spPr bwMode="auto">
              <a:xfrm>
                <a:off x="3594128" y="4465460"/>
                <a:ext cx="305086" cy="16771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7" name="Option Button 229" hidden="1">
                <a:extLst>
                  <a:ext uri="{63B3BB69-23CF-44E3-9099-C40C66FF867C}">
                    <a14:compatExt spid="_x0000_s2277"/>
                  </a:ext>
                  <a:ext uri="{FF2B5EF4-FFF2-40B4-BE49-F238E27FC236}">
                    <a16:creationId xmlns:a16="http://schemas.microsoft.com/office/drawing/2014/main" id="{00000000-0008-0000-0000-0000E5080000}"/>
                  </a:ext>
                </a:extLst>
              </xdr:cNvPr>
              <xdr:cNvSpPr/>
            </xdr:nvSpPr>
            <xdr:spPr bwMode="auto">
              <a:xfrm>
                <a:off x="4571187" y="4465460"/>
                <a:ext cx="305086" cy="16771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278" name="Option Button 230" hidden="1">
                <a:extLst>
                  <a:ext uri="{63B3BB69-23CF-44E3-9099-C40C66FF867C}">
                    <a14:compatExt spid="_x0000_s2278"/>
                  </a:ext>
                  <a:ext uri="{FF2B5EF4-FFF2-40B4-BE49-F238E27FC236}">
                    <a16:creationId xmlns:a16="http://schemas.microsoft.com/office/drawing/2014/main" id="{00000000-0008-0000-0000-0000E6080000}"/>
                  </a:ext>
                </a:extLst>
              </xdr:cNvPr>
              <xdr:cNvSpPr/>
            </xdr:nvSpPr>
            <xdr:spPr bwMode="auto">
              <a:xfrm>
                <a:off x="5533174" y="4465460"/>
                <a:ext cx="301354" cy="16771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5" name="Option Button 357" hidden="1">
                <a:extLst>
                  <a:ext uri="{63B3BB69-23CF-44E3-9099-C40C66FF867C}">
                    <a14:compatExt spid="_x0000_s2405"/>
                  </a:ext>
                  <a:ext uri="{FF2B5EF4-FFF2-40B4-BE49-F238E27FC236}">
                    <a16:creationId xmlns:a16="http://schemas.microsoft.com/office/drawing/2014/main" id="{00000000-0008-0000-0000-000065090000}"/>
                  </a:ext>
                </a:extLst>
              </xdr:cNvPr>
              <xdr:cNvSpPr/>
            </xdr:nvSpPr>
            <xdr:spPr bwMode="auto">
              <a:xfrm>
                <a:off x="3638262" y="5665486"/>
                <a:ext cx="304800" cy="22054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406" name="Option Button 358" hidden="1">
                <a:extLst>
                  <a:ext uri="{63B3BB69-23CF-44E3-9099-C40C66FF867C}">
                    <a14:compatExt spid="_x0000_s2406"/>
                  </a:ext>
                  <a:ext uri="{FF2B5EF4-FFF2-40B4-BE49-F238E27FC236}">
                    <a16:creationId xmlns:a16="http://schemas.microsoft.com/office/drawing/2014/main" id="{00000000-0008-0000-0000-000066090000}"/>
                  </a:ext>
                </a:extLst>
              </xdr:cNvPr>
              <xdr:cNvSpPr/>
            </xdr:nvSpPr>
            <xdr:spPr bwMode="auto">
              <a:xfrm>
                <a:off x="4729031" y="5680979"/>
                <a:ext cx="298617" cy="21670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9</xdr:col>
      <xdr:colOff>84179</xdr:colOff>
      <xdr:row>19</xdr:row>
      <xdr:rowOff>32039</xdr:rowOff>
    </xdr:from>
    <xdr:to>
      <xdr:col>10</xdr:col>
      <xdr:colOff>206951</xdr:colOff>
      <xdr:row>22</xdr:row>
      <xdr:rowOff>2376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98979" y="4661189"/>
          <a:ext cx="1018122" cy="579937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 editAs="oneCell">
    <xdr:from>
      <xdr:col>8</xdr:col>
      <xdr:colOff>6061</xdr:colOff>
      <xdr:row>19</xdr:row>
      <xdr:rowOff>42429</xdr:rowOff>
    </xdr:from>
    <xdr:to>
      <xdr:col>8</xdr:col>
      <xdr:colOff>729961</xdr:colOff>
      <xdr:row>22</xdr:row>
      <xdr:rowOff>13253</xdr:rowOff>
    </xdr:to>
    <xdr:pic>
      <xdr:nvPicPr>
        <xdr:cNvPr id="9" name="Image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136" y="4671579"/>
          <a:ext cx="723900" cy="580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173817</xdr:colOff>
      <xdr:row>14</xdr:row>
      <xdr:rowOff>87262</xdr:rowOff>
    </xdr:from>
    <xdr:ext cx="966611" cy="264560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968392" y="3834361"/>
          <a:ext cx="96661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/>
            <a:t>AL                1c</a:t>
          </a:r>
        </a:p>
      </xdr:txBody>
    </xdr:sp>
    <xdr:clientData/>
  </xdr:oneCellAnchor>
  <xdr:twoCellAnchor>
    <xdr:from>
      <xdr:col>17</xdr:col>
      <xdr:colOff>46255</xdr:colOff>
      <xdr:row>19</xdr:row>
      <xdr:rowOff>72542</xdr:rowOff>
    </xdr:from>
    <xdr:to>
      <xdr:col>19</xdr:col>
      <xdr:colOff>104209</xdr:colOff>
      <xdr:row>21</xdr:row>
      <xdr:rowOff>88874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12238255" y="3205209"/>
          <a:ext cx="1296204" cy="429082"/>
          <a:chOff x="9730256" y="3785696"/>
          <a:chExt cx="1075053" cy="426466"/>
        </a:xfrm>
      </xdr:grpSpPr>
      <xdr:sp macro="" textlink="">
        <xdr:nvSpPr>
          <xdr:cNvPr id="13" name="ZoneText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 txBox="1"/>
        </xdr:nvSpPr>
        <xdr:spPr>
          <a:xfrm>
            <a:off x="9730256" y="3785696"/>
            <a:ext cx="1075053" cy="2681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100"/>
              <a:t>simple        jumelée</a:t>
            </a:r>
          </a:p>
        </xdr:txBody>
      </xdr:sp>
      <mc:AlternateContent xmlns:mc="http://schemas.openxmlformats.org/markup-compatibility/2006">
        <mc:Choice xmlns:a14="http://schemas.microsoft.com/office/drawing/2010/main" Requires="a14">
          <xdr:grpSp>
            <xdr:nvGrpSpPr>
              <xdr:cNvPr id="5" name="Groupe 4">
                <a:extLst>
                  <a:ext uri="{FF2B5EF4-FFF2-40B4-BE49-F238E27FC236}">
                    <a16:creationId xmlns:a16="http://schemas.microsoft.com/office/drawing/2014/main" id="{00000000-0008-0000-0000-000005000000}"/>
                  </a:ext>
                </a:extLst>
              </xdr:cNvPr>
              <xdr:cNvGrpSpPr/>
            </xdr:nvGrpSpPr>
            <xdr:grpSpPr>
              <a:xfrm>
                <a:off x="9897527" y="3947588"/>
                <a:ext cx="902753" cy="264574"/>
                <a:chOff x="9897527" y="3947588"/>
                <a:chExt cx="902753" cy="264574"/>
              </a:xfrm>
            </xdr:grpSpPr>
            <xdr:sp macro="" textlink="">
              <xdr:nvSpPr>
                <xdr:cNvPr id="2575" name="Option Button 527" descr="NON" hidden="1">
                  <a:extLst>
                    <a:ext uri="{63B3BB69-23CF-44E3-9099-C40C66FF867C}">
                      <a14:compatExt spid="_x0000_s2575"/>
                    </a:ext>
                    <a:ext uri="{FF2B5EF4-FFF2-40B4-BE49-F238E27FC236}">
                      <a16:creationId xmlns:a16="http://schemas.microsoft.com/office/drawing/2014/main" id="{00000000-0008-0000-0000-00000F0A0000}"/>
                    </a:ext>
                  </a:extLst>
                </xdr:cNvPr>
                <xdr:cNvSpPr/>
              </xdr:nvSpPr>
              <xdr:spPr bwMode="auto">
                <a:xfrm>
                  <a:off x="9897527" y="3948638"/>
                  <a:ext cx="325961" cy="2635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  <xdr:sp macro="" textlink="">
              <xdr:nvSpPr>
                <xdr:cNvPr id="2582" name="Option Button 534" descr="NON" hidden="1">
                  <a:extLst>
                    <a:ext uri="{63B3BB69-23CF-44E3-9099-C40C66FF867C}">
                      <a14:compatExt spid="_x0000_s2582"/>
                    </a:ext>
                    <a:ext uri="{FF2B5EF4-FFF2-40B4-BE49-F238E27FC236}">
                      <a16:creationId xmlns:a16="http://schemas.microsoft.com/office/drawing/2014/main" id="{00000000-0008-0000-0000-0000160A0000}"/>
                    </a:ext>
                  </a:extLst>
                </xdr:cNvPr>
                <xdr:cNvSpPr/>
              </xdr:nvSpPr>
              <xdr:spPr bwMode="auto">
                <a:xfrm>
                  <a:off x="10476430" y="3947588"/>
                  <a:ext cx="323850" cy="2582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>
                      <a:solidFill>
                        <a:srgbClr val="FF0000" mc:Ignorable="a14" a14:legacySpreadsheetColorIndex="10"/>
                      </a:solidFill>
                    </a14:hiddenFill>
                  </a:ext>
                  <a:ext uri="{91240B29-F687-4F45-9708-019B960494DF}">
                    <a14:hiddenLine w="9525">
                      <a:solidFill>
                        <a:srgbClr val="000000" mc:Ignorable="a14" a14:legacySpreadsheetColorIndex="64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sp>
          </xdr:grpSp>
        </mc:Choice>
        <mc:Fallback/>
      </mc:AlternateContent>
    </xdr:grpSp>
    <xdr:clientData/>
  </xdr:twoCellAnchor>
  <xdr:oneCellAnchor>
    <xdr:from>
      <xdr:col>9</xdr:col>
      <xdr:colOff>247723</xdr:colOff>
      <xdr:row>1</xdr:row>
      <xdr:rowOff>115265</xdr:rowOff>
    </xdr:from>
    <xdr:ext cx="5668860" cy="468013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4363242" y="1741704"/>
          <a:ext cx="5668860" cy="468013"/>
        </a:xfrm>
        <a:prstGeom prst="rect">
          <a:avLst/>
        </a:prstGeom>
        <a:solidFill>
          <a:srgbClr val="00B050"/>
        </a:solidFill>
        <a:ln w="38100" cmpd="dbl">
          <a:solidFill>
            <a:schemeClr val="tx1"/>
          </a:solidFill>
        </a:ln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DIMENSIONNEMENT</a:t>
          </a:r>
          <a:r>
            <a:rPr lang="fr-FR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DES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</a:t>
          </a:r>
          <a:r>
            <a:rPr lang="fr-FR" sz="2400" b="0" cap="none" spc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PLANCHERS</a:t>
          </a:r>
          <a:r>
            <a:rPr lang="fr-FR" sz="2400" b="0" cap="none" spc="0" baseline="0">
              <a:ln w="0"/>
              <a:solidFill>
                <a:srgbClr val="FFFFFF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</a:rPr>
            <a:t> SEAC </a:t>
          </a:r>
          <a:endParaRPr lang="fr-FR" sz="2400" b="0" cap="none" spc="0">
            <a:ln w="0"/>
            <a:solidFill>
              <a:srgbClr val="FFFFFF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+mn-lt"/>
          </a:endParaRPr>
        </a:p>
      </xdr:txBody>
    </xdr:sp>
    <xdr:clientData/>
  </xdr:oneCellAnchor>
  <xdr:twoCellAnchor editAs="oneCell">
    <xdr:from>
      <xdr:col>6</xdr:col>
      <xdr:colOff>188703</xdr:colOff>
      <xdr:row>1</xdr:row>
      <xdr:rowOff>98844</xdr:rowOff>
    </xdr:from>
    <xdr:to>
      <xdr:col>7</xdr:col>
      <xdr:colOff>918425</xdr:colOff>
      <xdr:row>4</xdr:row>
      <xdr:rowOff>131250</xdr:rowOff>
    </xdr:to>
    <xdr:pic>
      <xdr:nvPicPr>
        <xdr:cNvPr id="12" name="Image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297" y="1725283"/>
          <a:ext cx="1493520" cy="52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419100</xdr:colOff>
          <xdr:row>28</xdr:row>
          <xdr:rowOff>47625</xdr:rowOff>
        </xdr:from>
        <xdr:to>
          <xdr:col>19</xdr:col>
          <xdr:colOff>657225</xdr:colOff>
          <xdr:row>29</xdr:row>
          <xdr:rowOff>9525</xdr:rowOff>
        </xdr:to>
        <xdr:sp macro="" textlink="">
          <xdr:nvSpPr>
            <xdr:cNvPr id="2858" name="Check Box 810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19</xdr:col>
      <xdr:colOff>714375</xdr:colOff>
      <xdr:row>2</xdr:row>
      <xdr:rowOff>19050</xdr:rowOff>
    </xdr:from>
    <xdr:ext cx="572786" cy="342786"/>
    <xdr:sp macro="" textlink="">
      <xdr:nvSpPr>
        <xdr:cNvPr id="8" name="ZoneText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1725275" y="1819275"/>
          <a:ext cx="57278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Aide</a:t>
          </a:r>
          <a:endParaRPr lang="fr-FR" sz="1600" b="1"/>
        </a:p>
      </xdr:txBody>
    </xdr:sp>
    <xdr:clientData/>
  </xdr:oneCellAnchor>
  <xdr:oneCellAnchor>
    <xdr:from>
      <xdr:col>7</xdr:col>
      <xdr:colOff>642937</xdr:colOff>
      <xdr:row>37</xdr:row>
      <xdr:rowOff>59530</xdr:rowOff>
    </xdr:from>
    <xdr:ext cx="2333625" cy="369095"/>
    <xdr:sp macro="" textlink="">
      <xdr:nvSpPr>
        <xdr:cNvPr id="16" name="ZoneTexte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1524000" y="6965155"/>
          <a:ext cx="2333625" cy="36909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1600" b="1" baseline="0"/>
            <a:t>Descriptifs, info produits</a:t>
          </a:r>
          <a:endParaRPr lang="fr-FR" sz="1600" b="1"/>
        </a:p>
      </xdr:txBody>
    </xdr:sp>
    <xdr:clientData/>
  </xdr:oneCellAnchor>
  <xdr:oneCellAnchor>
    <xdr:from>
      <xdr:col>15</xdr:col>
      <xdr:colOff>235743</xdr:colOff>
      <xdr:row>40</xdr:row>
      <xdr:rowOff>57148</xdr:rowOff>
    </xdr:from>
    <xdr:ext cx="3145632" cy="621508"/>
    <xdr:sp macro="" textlink="">
      <xdr:nvSpPr>
        <xdr:cNvPr id="14" name="ZoneText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7081837" y="7462836"/>
          <a:ext cx="3145632" cy="62150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fr-FR" sz="1600" b="1" baseline="0"/>
            <a:t>demande de dimensionnement    </a:t>
          </a:r>
          <a:r>
            <a:rPr lang="fr-FR" sz="1600" b="1" baseline="0">
              <a:solidFill>
                <a:schemeClr val="accent3">
                  <a:lumMod val="60000"/>
                  <a:lumOff val="40000"/>
                </a:schemeClr>
              </a:solidFill>
            </a:rPr>
            <a:t>.</a:t>
          </a:r>
          <a:r>
            <a:rPr lang="fr-FR" sz="1600" b="1" baseline="0"/>
            <a:t>bet SEAC</a:t>
          </a:r>
          <a:endParaRPr lang="fr-FR" sz="16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282089</xdr:colOff>
      <xdr:row>27</xdr:row>
      <xdr:rowOff>132521</xdr:rowOff>
    </xdr:from>
    <xdr:to>
      <xdr:col>15</xdr:col>
      <xdr:colOff>56157</xdr:colOff>
      <xdr:row>37</xdr:row>
      <xdr:rowOff>113528</xdr:rowOff>
    </xdr:to>
    <xdr:pic>
      <xdr:nvPicPr>
        <xdr:cNvPr id="14" name="Imag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48" l="1233" r="99383">
                      <a14:foregroundMark x1="70900" y1="86596" x2="70900" y2="8659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6089" y="4605130"/>
          <a:ext cx="2060068" cy="1637528"/>
        </a:xfrm>
        <a:prstGeom prst="rect">
          <a:avLst/>
        </a:prstGeom>
      </xdr:spPr>
    </xdr:pic>
    <xdr:clientData/>
  </xdr:twoCellAnchor>
  <xdr:oneCellAnchor>
    <xdr:from>
      <xdr:col>0</xdr:col>
      <xdr:colOff>234813</xdr:colOff>
      <xdr:row>5</xdr:row>
      <xdr:rowOff>54666</xdr:rowOff>
    </xdr:from>
    <xdr:ext cx="3063146" cy="342786"/>
    <xdr:sp macro="" textlink="">
      <xdr:nvSpPr>
        <xdr:cNvPr id="7" name="ZoneText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34813" y="882927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twoCellAnchor editAs="oneCell">
    <xdr:from>
      <xdr:col>3</xdr:col>
      <xdr:colOff>557418</xdr:colOff>
      <xdr:row>29</xdr:row>
      <xdr:rowOff>66261</xdr:rowOff>
    </xdr:from>
    <xdr:to>
      <xdr:col>7</xdr:col>
      <xdr:colOff>81869</xdr:colOff>
      <xdr:row>38</xdr:row>
      <xdr:rowOff>63092</xdr:rowOff>
    </xdr:to>
    <xdr:pic>
      <xdr:nvPicPr>
        <xdr:cNvPr id="11" name="Imag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43418" y="4870174"/>
          <a:ext cx="2572451" cy="1487701"/>
        </a:xfrm>
        <a:prstGeom prst="rect">
          <a:avLst/>
        </a:prstGeom>
      </xdr:spPr>
    </xdr:pic>
    <xdr:clientData/>
  </xdr:twoCellAnchor>
  <xdr:twoCellAnchor editAs="oneCell">
    <xdr:from>
      <xdr:col>7</xdr:col>
      <xdr:colOff>215052</xdr:colOff>
      <xdr:row>5</xdr:row>
      <xdr:rowOff>95520</xdr:rowOff>
    </xdr:from>
    <xdr:to>
      <xdr:col>10</xdr:col>
      <xdr:colOff>135186</xdr:colOff>
      <xdr:row>11</xdr:row>
      <xdr:rowOff>99390</xdr:rowOff>
    </xdr:to>
    <xdr:pic>
      <xdr:nvPicPr>
        <xdr:cNvPr id="12" name="Image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2030" b="100000" l="1794" r="100000">
                      <a14:foregroundMark x1="17713" y1="29442" x2="17713" y2="29442"/>
                      <a14:foregroundMark x1="13229" y1="20812" x2="13229" y2="20812"/>
                      <a14:foregroundMark x1="8072" y1="32487" x2="8072" y2="32487"/>
                      <a14:foregroundMark x1="34081" y1="28934" x2="34081" y2="28934"/>
                      <a14:foregroundMark x1="40583" y1="22843" x2="41256" y2="22335"/>
                      <a14:foregroundMark x1="50448" y1="13706" x2="50448" y2="13706"/>
                      <a14:foregroundMark x1="41031" y1="9645" x2="41031" y2="9645"/>
                      <a14:foregroundMark x1="28924" y1="7614" x2="28924" y2="761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49052" y="923781"/>
          <a:ext cx="2206134" cy="997783"/>
        </a:xfrm>
        <a:prstGeom prst="rect">
          <a:avLst/>
        </a:prstGeom>
      </xdr:spPr>
    </xdr:pic>
    <xdr:clientData/>
  </xdr:twoCellAnchor>
  <xdr:twoCellAnchor editAs="oneCell">
    <xdr:from>
      <xdr:col>3</xdr:col>
      <xdr:colOff>137906</xdr:colOff>
      <xdr:row>11</xdr:row>
      <xdr:rowOff>145384</xdr:rowOff>
    </xdr:from>
    <xdr:to>
      <xdr:col>6</xdr:col>
      <xdr:colOff>367189</xdr:colOff>
      <xdr:row>19</xdr:row>
      <xdr:rowOff>161454</xdr:rowOff>
    </xdr:to>
    <xdr:pic>
      <xdr:nvPicPr>
        <xdr:cNvPr id="13" name="Image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2612" b="100000" l="4864" r="86187">
                      <a14:backgroundMark x1="18482" y1="79104" x2="18482" y2="79104"/>
                      <a14:backgroundMark x1="18093" y1="72015" x2="18093" y2="72015"/>
                      <a14:backgroundMark x1="14786" y1="81716" x2="14786" y2="81716"/>
                      <a14:backgroundMark x1="23346" y1="79104" x2="23346" y2="79104"/>
                      <a14:backgroundMark x1="20817" y1="82090" x2="20817" y2="82090"/>
                      <a14:backgroundMark x1="22957" y1="82836" x2="22957" y2="82836"/>
                      <a14:backgroundMark x1="27043" y1="82836" x2="27043" y2="82836"/>
                      <a14:backgroundMark x1="28988" y1="82090" x2="28988" y2="82090"/>
                      <a14:backgroundMark x1="31907" y1="79851" x2="31907" y2="79851"/>
                      <a14:backgroundMark x1="70623" y1="7463" x2="70623" y2="7463"/>
                      <a14:backgroundMark x1="73735" y1="6716" x2="73735" y2="6716"/>
                      <a14:backgroundMark x1="75875" y1="5224" x2="76459" y2="5597"/>
                      <a14:backgroundMark x1="78210" y1="7836" x2="78210" y2="7836"/>
                      <a14:backgroundMark x1="78210" y1="8209" x2="78210" y2="8209"/>
                      <a14:backgroundMark x1="73930" y1="6343" x2="73930" y2="6343"/>
                      <a14:backgroundMark x1="71012" y1="4851" x2="71012" y2="4851"/>
                      <a14:backgroundMark x1="69455" y1="10075" x2="69455" y2="10075"/>
                      <a14:backgroundMark x1="76459" y1="9328" x2="76459" y2="10075"/>
                      <a14:backgroundMark x1="76459" y1="10448" x2="76459" y2="1044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23906" y="1967558"/>
          <a:ext cx="2515283" cy="1341287"/>
        </a:xfrm>
        <a:prstGeom prst="rect">
          <a:avLst/>
        </a:prstGeom>
      </xdr:spPr>
    </xdr:pic>
    <xdr:clientData/>
  </xdr:twoCellAnchor>
  <xdr:twoCellAnchor editAs="oneCell">
    <xdr:from>
      <xdr:col>0</xdr:col>
      <xdr:colOff>82826</xdr:colOff>
      <xdr:row>0</xdr:row>
      <xdr:rowOff>107674</xdr:rowOff>
    </xdr:from>
    <xdr:to>
      <xdr:col>2</xdr:col>
      <xdr:colOff>50548</xdr:colOff>
      <xdr:row>3</xdr:row>
      <xdr:rowOff>129957</xdr:rowOff>
    </xdr:to>
    <xdr:pic>
      <xdr:nvPicPr>
        <xdr:cNvPr id="16" name="Imag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6" y="107674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212561</xdr:colOff>
      <xdr:row>18</xdr:row>
      <xdr:rowOff>52989</xdr:rowOff>
    </xdr:from>
    <xdr:ext cx="1247969" cy="405432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2498561" y="3034728"/>
          <a:ext cx="124796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1</xdr:col>
      <xdr:colOff>502485</xdr:colOff>
      <xdr:row>27</xdr:row>
      <xdr:rowOff>105998</xdr:rowOff>
    </xdr:from>
    <xdr:ext cx="2380973" cy="405432"/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264485" y="4578607"/>
          <a:ext cx="238097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PREDAL-SEACOUSTIC</a:t>
          </a:r>
        </a:p>
      </xdr:txBody>
    </xdr:sp>
    <xdr:clientData/>
  </xdr:oneCellAnchor>
  <xdr:oneCellAnchor>
    <xdr:from>
      <xdr:col>9</xdr:col>
      <xdr:colOff>67693</xdr:colOff>
      <xdr:row>11</xdr:row>
      <xdr:rowOff>91109</xdr:rowOff>
    </xdr:from>
    <xdr:ext cx="1018164" cy="405432"/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6925693" y="1913283"/>
          <a:ext cx="101816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VS</a:t>
          </a:r>
        </a:p>
      </xdr:txBody>
    </xdr:sp>
    <xdr:clientData/>
  </xdr:oneCellAnchor>
  <xdr:oneCellAnchor>
    <xdr:from>
      <xdr:col>13</xdr:col>
      <xdr:colOff>101571</xdr:colOff>
      <xdr:row>17</xdr:row>
      <xdr:rowOff>91109</xdr:rowOff>
    </xdr:from>
    <xdr:ext cx="1144224" cy="405432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0007571" y="2907196"/>
          <a:ext cx="114422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11</xdr:col>
      <xdr:colOff>617263</xdr:colOff>
      <xdr:row>35</xdr:row>
      <xdr:rowOff>115957</xdr:rowOff>
    </xdr:from>
    <xdr:ext cx="1173013" cy="405432"/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999263" y="5913783"/>
          <a:ext cx="117301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7</xdr:col>
      <xdr:colOff>7388</xdr:colOff>
      <xdr:row>21</xdr:row>
      <xdr:rowOff>129393</xdr:rowOff>
    </xdr:from>
    <xdr:ext cx="3651000" cy="405432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341388" y="3463143"/>
          <a:ext cx="365100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cliquer sur l'image d'un plancher</a:t>
          </a:r>
        </a:p>
      </xdr:txBody>
    </xdr:sp>
    <xdr:clientData/>
  </xdr:oneCellAnchor>
  <xdr:twoCellAnchor editAs="oneCell">
    <xdr:from>
      <xdr:col>8</xdr:col>
      <xdr:colOff>78893</xdr:colOff>
      <xdr:row>35</xdr:row>
      <xdr:rowOff>82825</xdr:rowOff>
    </xdr:from>
    <xdr:to>
      <xdr:col>10</xdr:col>
      <xdr:colOff>546651</xdr:colOff>
      <xdr:row>43</xdr:row>
      <xdr:rowOff>16564</xdr:rowOff>
    </xdr:to>
    <xdr:pic>
      <xdr:nvPicPr>
        <xdr:cNvPr id="30" name="Image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95" b="100000" l="0" r="99805">
                      <a14:foregroundMark x1="13477" y1="6836" x2="13477" y2="6836"/>
                      <a14:foregroundMark x1="29883" y1="4297" x2="29883" y2="4297"/>
                      <a14:foregroundMark x1="56641" y1="4297" x2="56641" y2="4297"/>
                      <a14:foregroundMark x1="76367" y1="6445" x2="76367" y2="6445"/>
                      <a14:foregroundMark x1="87891" y1="5078" x2="87891" y2="5078"/>
                      <a14:foregroundMark x1="95508" y1="5078" x2="95508" y2="5078"/>
                      <a14:foregroundMark x1="42578" y1="4297" x2="42578" y2="4297"/>
                      <a14:foregroundMark x1="36719" y1="3320" x2="36719" y2="3320"/>
                      <a14:foregroundMark x1="22852" y1="5664" x2="22852" y2="5664"/>
                      <a14:foregroundMark x1="7813" y1="6445" x2="7813" y2="6445"/>
                      <a14:foregroundMark x1="2539" y1="6445" x2="2539" y2="6445"/>
                      <a14:foregroundMark x1="81055" y1="4297" x2="81055" y2="4297"/>
                      <a14:foregroundMark x1="71875" y1="4102" x2="71875" y2="4102"/>
                      <a14:foregroundMark x1="68164" y1="3711" x2="68164" y2="3711"/>
                      <a14:foregroundMark x1="65430" y1="4102" x2="65430" y2="4102"/>
                      <a14:foregroundMark x1="63086" y1="4297" x2="63086" y2="4297"/>
                      <a14:foregroundMark x1="61523" y1="4492" x2="61523" y2="4492"/>
                      <a14:foregroundMark x1="58984" y1="4883" x2="58984" y2="4883"/>
                      <a14:foregroundMark x1="75195" y1="64063" x2="75195" y2="64063"/>
                      <a14:foregroundMark x1="75977" y1="68555" x2="75977" y2="68555"/>
                      <a14:foregroundMark x1="76953" y1="77539" x2="76953" y2="77539"/>
                      <a14:foregroundMark x1="78320" y1="80273" x2="78320" y2="80273"/>
                      <a14:foregroundMark x1="84570" y1="82227" x2="84570" y2="82227"/>
                      <a14:foregroundMark x1="90234" y1="77344" x2="90234" y2="77344"/>
                      <a14:foregroundMark x1="92578" y1="71289" x2="92578" y2="71289"/>
                      <a14:foregroundMark x1="94141" y1="63281" x2="94141" y2="63281"/>
                      <a14:foregroundMark x1="94531" y1="59961" x2="94531" y2="59961"/>
                      <a14:foregroundMark x1="96289" y1="51758" x2="96289" y2="51758"/>
                      <a14:foregroundMark x1="82031" y1="72656" x2="82031" y2="72656"/>
                      <a14:foregroundMark x1="83398" y1="67578" x2="83398" y2="67578"/>
                      <a14:foregroundMark x1="83008" y1="63086" x2="83008" y2="63086"/>
                      <a14:foregroundMark x1="82422" y1="61719" x2="82422" y2="61719"/>
                      <a14:foregroundMark x1="70117" y1="82813" x2="70117" y2="82813"/>
                      <a14:foregroundMark x1="73242" y1="88867" x2="73828" y2="88867"/>
                      <a14:foregroundMark x1="75977" y1="88477" x2="75977" y2="88477"/>
                      <a14:foregroundMark x1="77734" y1="87695" x2="80469" y2="87695"/>
                      <a14:foregroundMark x1="82227" y1="87500" x2="82813" y2="87109"/>
                      <a14:foregroundMark x1="83398" y1="86328" x2="83984" y2="86328"/>
                      <a14:foregroundMark x1="84961" y1="85547" x2="84961" y2="85547"/>
                      <a14:foregroundMark x1="86719" y1="84766" x2="87305" y2="84766"/>
                      <a14:foregroundMark x1="91211" y1="81836" x2="91211" y2="81836"/>
                      <a14:foregroundMark x1="92188" y1="81445" x2="92188" y2="81445"/>
                      <a14:foregroundMark x1="93945" y1="80078" x2="93945" y2="80078"/>
                      <a14:foregroundMark x1="50781" y1="79492" x2="50781" y2="79492"/>
                      <a14:foregroundMark x1="45898" y1="76367" x2="45313" y2="75586"/>
                      <a14:foregroundMark x1="38281" y1="71289" x2="38281" y2="71289"/>
                      <a14:foregroundMark x1="35742" y1="69531" x2="35352" y2="69336"/>
                      <a14:foregroundMark x1="30273" y1="66016" x2="30273" y2="66016"/>
                      <a14:foregroundMark x1="27148" y1="62500" x2="26953" y2="61719"/>
                      <a14:foregroundMark x1="21484" y1="55078" x2="21484" y2="55078"/>
                      <a14:foregroundMark x1="16406" y1="53125" x2="16406" y2="53125"/>
                      <a14:foregroundMark x1="4297" y1="44141" x2="4297" y2="44141"/>
                      <a14:foregroundMark x1="4492" y1="50977" x2="4492" y2="50977"/>
                      <a14:foregroundMark x1="6836" y1="58789" x2="6836" y2="58789"/>
                      <a14:foregroundMark x1="8203" y1="62695" x2="8594" y2="64063"/>
                      <a14:foregroundMark x1="8984" y1="68164" x2="9961" y2="69922"/>
                      <a14:foregroundMark x1="13281" y1="73438" x2="14063" y2="73633"/>
                      <a14:foregroundMark x1="16406" y1="75977" x2="19141" y2="78125"/>
                      <a14:foregroundMark x1="22461" y1="79688" x2="23047" y2="80078"/>
                      <a14:foregroundMark x1="28320" y1="83594" x2="29883" y2="85547"/>
                      <a14:foregroundMark x1="27148" y1="87109" x2="27148" y2="87109"/>
                      <a14:foregroundMark x1="13477" y1="83398" x2="13477" y2="83398"/>
                      <a14:foregroundMark x1="9375" y1="78906" x2="9375" y2="78906"/>
                      <a14:foregroundMark x1="7227" y1="76758" x2="7227" y2="76758"/>
                      <a14:foregroundMark x1="25000" y1="85156" x2="26172" y2="85742"/>
                      <a14:foregroundMark x1="31055" y1="90625" x2="32227" y2="91016"/>
                      <a14:foregroundMark x1="34375" y1="91992" x2="35742" y2="92969"/>
                      <a14:foregroundMark x1="39258" y1="93945" x2="39258" y2="93945"/>
                      <a14:foregroundMark x1="41211" y1="91211" x2="41211" y2="91211"/>
                      <a14:foregroundMark x1="42578" y1="86133" x2="42578" y2="86133"/>
                      <a14:foregroundMark x1="40820" y1="81055" x2="40820" y2="81055"/>
                      <a14:foregroundMark x1="34766" y1="78125" x2="32813" y2="77344"/>
                      <a14:foregroundMark x1="26172" y1="74219" x2="26172" y2="74219"/>
                      <a14:foregroundMark x1="21289" y1="67578" x2="21289" y2="67578"/>
                      <a14:foregroundMark x1="19531" y1="66016" x2="19531" y2="66016"/>
                      <a14:foregroundMark x1="21875" y1="62500" x2="21875" y2="62500"/>
                      <a14:foregroundMark x1="17188" y1="56641" x2="16992" y2="55078"/>
                      <a14:foregroundMark x1="10156" y1="48438" x2="10156" y2="48438"/>
                      <a14:foregroundMark x1="53711" y1="81641" x2="53711" y2="81641"/>
                      <a14:foregroundMark x1="54492" y1="78711" x2="54492" y2="78711"/>
                      <a14:foregroundMark x1="55469" y1="75977" x2="56445" y2="75977"/>
                      <a14:foregroundMark x1="58398" y1="77734" x2="58594" y2="78906"/>
                      <a14:foregroundMark x1="58789" y1="82422" x2="58984" y2="84375"/>
                      <a14:foregroundMark x1="59180" y1="86523" x2="59766" y2="87891"/>
                      <a14:foregroundMark x1="61914" y1="89258" x2="61914" y2="89258"/>
                      <a14:foregroundMark x1="65039" y1="91211" x2="65820" y2="91797"/>
                      <a14:foregroundMark x1="67188" y1="91992" x2="67188" y2="91992"/>
                      <a14:foregroundMark x1="70703" y1="92969" x2="70703" y2="92969"/>
                      <a14:foregroundMark x1="74414" y1="94727" x2="74414" y2="94727"/>
                      <a14:foregroundMark x1="75977" y1="94531" x2="75977" y2="94531"/>
                      <a14:foregroundMark x1="77930" y1="93359" x2="79102" y2="93359"/>
                      <a14:foregroundMark x1="80273" y1="93164" x2="80273" y2="93164"/>
                      <a14:foregroundMark x1="81641" y1="92578" x2="82617" y2="92383"/>
                      <a14:foregroundMark x1="83984" y1="91016" x2="83984" y2="91016"/>
                      <a14:foregroundMark x1="86133" y1="83594" x2="86133" y2="83594"/>
                      <a14:foregroundMark x1="86133" y1="79492" x2="86133" y2="79492"/>
                      <a14:foregroundMark x1="86133" y1="77539" x2="86133" y2="77539"/>
                      <a14:foregroundMark x1="87500" y1="76172" x2="87500" y2="76172"/>
                      <a14:foregroundMark x1="88281" y1="75977" x2="87109" y2="76953"/>
                      <a14:foregroundMark x1="81250" y1="78320" x2="81250" y2="79688"/>
                      <a14:foregroundMark x1="81250" y1="82813" x2="81055" y2="83594"/>
                      <a14:foregroundMark x1="78906" y1="85156" x2="76953" y2="86328"/>
                      <a14:foregroundMark x1="75586" y1="85156" x2="75586" y2="85156"/>
                      <a14:foregroundMark x1="72461" y1="89063" x2="72461" y2="90234"/>
                      <a14:foregroundMark x1="71094" y1="92969" x2="70313" y2="93945"/>
                      <a14:foregroundMark x1="68555" y1="95117" x2="68555" y2="95117"/>
                      <a14:foregroundMark x1="66211" y1="94727" x2="66211" y2="94727"/>
                      <a14:foregroundMark x1="64453" y1="95117" x2="64453" y2="95117"/>
                      <a14:foregroundMark x1="61719" y1="95117" x2="60938" y2="95313"/>
                      <a14:foregroundMark x1="59375" y1="95313" x2="59375" y2="95313"/>
                      <a14:foregroundMark x1="57031" y1="95313" x2="57031" y2="95313"/>
                      <a14:foregroundMark x1="54688" y1="95703" x2="54688" y2="95703"/>
                      <a14:foregroundMark x1="53125" y1="93945" x2="53125" y2="93945"/>
                      <a14:foregroundMark x1="51758" y1="92969" x2="51758" y2="92969"/>
                      <a14:foregroundMark x1="50781" y1="90625" x2="50781" y2="90625"/>
                      <a14:foregroundMark x1="48438" y1="91016" x2="48438" y2="91016"/>
                      <a14:foregroundMark x1="45508" y1="92969" x2="45508" y2="92969"/>
                      <a14:foregroundMark x1="43945" y1="92383" x2="43945" y2="92383"/>
                      <a14:foregroundMark x1="42773" y1="89648" x2="42773" y2="89648"/>
                      <a14:foregroundMark x1="38477" y1="88281" x2="38477" y2="88281"/>
                      <a14:foregroundMark x1="36914" y1="86523" x2="36523" y2="87500"/>
                      <a14:foregroundMark x1="35742" y1="88477" x2="35742" y2="88477"/>
                      <a14:foregroundMark x1="34570" y1="90430" x2="33203" y2="91797"/>
                      <a14:foregroundMark x1="29492" y1="93164" x2="29492" y2="93164"/>
                      <a14:foregroundMark x1="26172" y1="92578" x2="26172" y2="92578"/>
                      <a14:foregroundMark x1="24609" y1="90625" x2="24609" y2="90625"/>
                      <a14:foregroundMark x1="22266" y1="88281" x2="21875" y2="88281"/>
                      <a14:foregroundMark x1="19727" y1="87109" x2="19727" y2="87109"/>
                      <a14:foregroundMark x1="18359" y1="86328" x2="17773" y2="85742"/>
                      <a14:foregroundMark x1="16211" y1="82227" x2="15430" y2="80859"/>
                      <a14:foregroundMark x1="12891" y1="78125" x2="12891" y2="78125"/>
                      <a14:foregroundMark x1="9961" y1="75391" x2="9180" y2="74609"/>
                      <a14:foregroundMark x1="4492" y1="69922" x2="4297" y2="68945"/>
                      <a14:foregroundMark x1="2344" y1="64648" x2="2344" y2="64648"/>
                      <a14:foregroundMark x1="2344" y1="64453" x2="2344" y2="64453"/>
                      <a14:foregroundMark x1="2734" y1="70313" x2="2734" y2="70313"/>
                      <a14:foregroundMark x1="3320" y1="70898" x2="3320" y2="70898"/>
                      <a14:foregroundMark x1="2344" y1="41016" x2="2344" y2="41016"/>
                      <a14:foregroundMark x1="95703" y1="83594" x2="95703" y2="83594"/>
                      <a14:foregroundMark x1="97070" y1="79102" x2="97070" y2="79102"/>
                      <a14:foregroundMark x1="97461" y1="73438" x2="97461" y2="73438"/>
                      <a14:foregroundMark x1="97070" y1="71289" x2="96484" y2="71289"/>
                      <a14:foregroundMark x1="95508" y1="71289" x2="95508" y2="71289"/>
                      <a14:foregroundMark x1="47461" y1="95313" x2="47461" y2="95313"/>
                      <a14:foregroundMark x1="44336" y1="95898" x2="44336" y2="95898"/>
                      <a14:foregroundMark x1="45898" y1="98047" x2="45898" y2="98047"/>
                      <a14:foregroundMark x1="33984" y1="98047" x2="33984" y2="98047"/>
                      <a14:foregroundMark x1="31641" y1="98438" x2="31641" y2="98438"/>
                      <a14:foregroundMark x1="26563" y1="98438" x2="26563" y2="98438"/>
                      <a14:foregroundMark x1="23633" y1="95898" x2="23633" y2="95898"/>
                      <a14:foregroundMark x1="18750" y1="92969" x2="18750" y2="92969"/>
                      <a14:foregroundMark x1="14063" y1="89063" x2="14063" y2="8906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74893" y="5880651"/>
          <a:ext cx="1991758" cy="1258956"/>
        </a:xfrm>
        <a:prstGeom prst="rect">
          <a:avLst/>
        </a:prstGeom>
      </xdr:spPr>
    </xdr:pic>
    <xdr:clientData/>
  </xdr:twoCellAnchor>
  <xdr:oneCellAnchor>
    <xdr:from>
      <xdr:col>8</xdr:col>
      <xdr:colOff>275529</xdr:colOff>
      <xdr:row>31</xdr:row>
      <xdr:rowOff>110988</xdr:rowOff>
    </xdr:from>
    <xdr:ext cx="1437381" cy="405432"/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6371529" y="5246205"/>
          <a:ext cx="143738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E.B.S Etages</a:t>
          </a:r>
        </a:p>
      </xdr:txBody>
    </xdr:sp>
    <xdr:clientData/>
  </xdr:oneCellAnchor>
  <xdr:oneCellAnchor>
    <xdr:from>
      <xdr:col>8</xdr:col>
      <xdr:colOff>272369</xdr:colOff>
      <xdr:row>33</xdr:row>
      <xdr:rowOff>82825</xdr:rowOff>
    </xdr:from>
    <xdr:ext cx="1450782" cy="280205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6368369" y="5549347"/>
          <a:ext cx="1450782" cy="28020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(SEACOUSTIC 2</a:t>
          </a:r>
          <a:r>
            <a:rPr lang="fr-FR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et 3)</a:t>
          </a:r>
          <a:endParaRPr lang="fr-FR" sz="1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8</xdr:col>
      <xdr:colOff>99212</xdr:colOff>
      <xdr:row>17</xdr:row>
      <xdr:rowOff>107051</xdr:rowOff>
    </xdr:from>
    <xdr:to>
      <xdr:col>9</xdr:col>
      <xdr:colOff>60855</xdr:colOff>
      <xdr:row>22</xdr:row>
      <xdr:rowOff>33301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20880400">
          <a:off x="6195212" y="2805801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600860</xdr:colOff>
      <xdr:row>17</xdr:row>
      <xdr:rowOff>113463</xdr:rowOff>
    </xdr:from>
    <xdr:to>
      <xdr:col>10</xdr:col>
      <xdr:colOff>558860</xdr:colOff>
      <xdr:row>22</xdr:row>
      <xdr:rowOff>43356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4750477">
          <a:off x="7457038" y="2814035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116182</xdr:colOff>
      <xdr:row>24</xdr:row>
      <xdr:rowOff>54060</xdr:rowOff>
    </xdr:from>
    <xdr:to>
      <xdr:col>9</xdr:col>
      <xdr:colOff>74182</xdr:colOff>
      <xdr:row>28</xdr:row>
      <xdr:rowOff>142703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16363371">
          <a:off x="6210360" y="3865882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704243</xdr:colOff>
      <xdr:row>24</xdr:row>
      <xdr:rowOff>76312</xdr:rowOff>
    </xdr:from>
    <xdr:to>
      <xdr:col>10</xdr:col>
      <xdr:colOff>665886</xdr:colOff>
      <xdr:row>29</xdr:row>
      <xdr:rowOff>2562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8680626">
          <a:off x="7562243" y="3886312"/>
          <a:ext cx="72364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143162</xdr:colOff>
      <xdr:row>9</xdr:row>
      <xdr:rowOff>145523</xdr:rowOff>
    </xdr:from>
    <xdr:to>
      <xdr:col>14</xdr:col>
      <xdr:colOff>266699</xdr:colOff>
      <xdr:row>17</xdr:row>
      <xdr:rowOff>76200</xdr:rowOff>
    </xdr:to>
    <xdr:pic>
      <xdr:nvPicPr>
        <xdr:cNvPr id="2" name="Image 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0" b="98396" l="1633" r="100000">
                      <a14:foregroundMark x1="18367" y1="22995" x2="18367" y2="22995"/>
                      <a14:foregroundMark x1="26803" y1="14973" x2="26803" y2="14973"/>
                      <a14:foregroundMark x1="45034" y1="55080" x2="45034" y2="55080"/>
                      <a14:foregroundMark x1="52245" y1="47059" x2="52245" y2="47059"/>
                      <a14:foregroundMark x1="57959" y1="39037" x2="57959" y2="39037"/>
                      <a14:foregroundMark x1="22041" y1="21123" x2="22041" y2="21123"/>
                      <a14:foregroundMark x1="83401" y1="39572" x2="83401" y2="39572"/>
                      <a14:foregroundMark x1="91837" y1="33422" x2="91837" y2="3342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25162" y="1602848"/>
          <a:ext cx="2409537" cy="1226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15</xdr:row>
      <xdr:rowOff>142875</xdr:rowOff>
    </xdr:from>
    <xdr:to>
      <xdr:col>15</xdr:col>
      <xdr:colOff>67909</xdr:colOff>
      <xdr:row>55</xdr:row>
      <xdr:rowOff>153305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57475" y="3200400"/>
          <a:ext cx="8840434" cy="6487430"/>
        </a:xfrm>
        <a:prstGeom prst="rect">
          <a:avLst/>
        </a:prstGeom>
      </xdr:spPr>
    </xdr:pic>
    <xdr:clientData/>
  </xdr:twoCellAnchor>
  <xdr:oneCellAnchor>
    <xdr:from>
      <xdr:col>0</xdr:col>
      <xdr:colOff>195263</xdr:colOff>
      <xdr:row>3</xdr:row>
      <xdr:rowOff>433387</xdr:rowOff>
    </xdr:from>
    <xdr:ext cx="3063146" cy="342786"/>
    <xdr:sp macro="" textlink="">
      <xdr:nvSpPr>
        <xdr:cNvPr id="4" name="ZoneText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95263" y="933450"/>
          <a:ext cx="3063146" cy="342786"/>
        </a:xfrm>
        <a:prstGeom prst="rect">
          <a:avLst/>
        </a:prstGeom>
        <a:solidFill>
          <a:srgbClr val="92D050"/>
        </a:solidFill>
        <a:ln>
          <a:noFill/>
        </a:ln>
        <a:effectLst>
          <a:outerShdw dir="17400000" algn="ctr" rotWithShape="0">
            <a:schemeClr val="bg1">
              <a:lumMod val="75000"/>
            </a:schemeClr>
          </a:outerShdw>
        </a:effectLst>
        <a:scene3d>
          <a:camera prst="orthographicFront"/>
          <a:lightRig rig="threePt" dir="t"/>
        </a:scene3d>
        <a:sp3d>
          <a:bevelT w="165100" prst="coolSlant"/>
          <a:bevelB w="114300" prst="hardEdg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600" b="1" baseline="0"/>
            <a:t>RETOUR AU DIMENSIONNEMENT </a:t>
          </a:r>
          <a:endParaRPr lang="fr-FR" sz="1600" b="1"/>
        </a:p>
      </xdr:txBody>
    </xdr:sp>
    <xdr:clientData/>
  </xdr:oneCellAnchor>
  <xdr:oneCellAnchor>
    <xdr:from>
      <xdr:col>0</xdr:col>
      <xdr:colOff>409575</xdr:colOff>
      <xdr:row>25</xdr:row>
      <xdr:rowOff>38100</xdr:rowOff>
    </xdr:from>
    <xdr:ext cx="2169065" cy="264560"/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09575" y="4714875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types de plancher à sélectionner</a:t>
          </a:r>
        </a:p>
      </xdr:txBody>
    </xdr:sp>
    <xdr:clientData/>
  </xdr:oneCellAnchor>
  <xdr:twoCellAnchor>
    <xdr:from>
      <xdr:col>3</xdr:col>
      <xdr:colOff>292640</xdr:colOff>
      <xdr:row>24</xdr:row>
      <xdr:rowOff>0</xdr:rowOff>
    </xdr:from>
    <xdr:to>
      <xdr:col>4</xdr:col>
      <xdr:colOff>361950</xdr:colOff>
      <xdr:row>26</xdr:row>
      <xdr:rowOff>8455</xdr:rowOff>
    </xdr:to>
    <xdr:cxnSp macro="">
      <xdr:nvCxnSpPr>
        <xdr:cNvPr id="7" name="Connecteur droit avec flèch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>
          <a:stCxn id="5" idx="3"/>
        </xdr:cNvCxnSpPr>
      </xdr:nvCxnSpPr>
      <xdr:spPr bwMode="auto">
        <a:xfrm flipV="1">
          <a:off x="2578640" y="4514850"/>
          <a:ext cx="831310" cy="33230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3</xdr:col>
      <xdr:colOff>247650</xdr:colOff>
      <xdr:row>27</xdr:row>
      <xdr:rowOff>76200</xdr:rowOff>
    </xdr:from>
    <xdr:to>
      <xdr:col>5</xdr:col>
      <xdr:colOff>238125</xdr:colOff>
      <xdr:row>31</xdr:row>
      <xdr:rowOff>76200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 bwMode="auto">
        <a:xfrm>
          <a:off x="2533650" y="5076825"/>
          <a:ext cx="1514475" cy="64770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oneCellAnchor>
    <xdr:from>
      <xdr:col>0</xdr:col>
      <xdr:colOff>609600</xdr:colOff>
      <xdr:row>41</xdr:row>
      <xdr:rowOff>47625</xdr:rowOff>
    </xdr:from>
    <xdr:ext cx="2169065" cy="264560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609600" y="7315200"/>
          <a:ext cx="216906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affiche le plancher sélectionné</a:t>
          </a:r>
        </a:p>
      </xdr:txBody>
    </xdr:sp>
    <xdr:clientData/>
  </xdr:oneCellAnchor>
  <xdr:twoCellAnchor>
    <xdr:from>
      <xdr:col>3</xdr:col>
      <xdr:colOff>311690</xdr:colOff>
      <xdr:row>39</xdr:row>
      <xdr:rowOff>142875</xdr:rowOff>
    </xdr:from>
    <xdr:to>
      <xdr:col>5</xdr:col>
      <xdr:colOff>0</xdr:colOff>
      <xdr:row>42</xdr:row>
      <xdr:rowOff>46555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 bwMode="auto">
        <a:xfrm flipV="1">
          <a:off x="2597690" y="7086600"/>
          <a:ext cx="1212310" cy="38945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7</xdr:col>
      <xdr:colOff>371475</xdr:colOff>
      <xdr:row>31</xdr:row>
      <xdr:rowOff>9525</xdr:rowOff>
    </xdr:from>
    <xdr:to>
      <xdr:col>8</xdr:col>
      <xdr:colOff>209634</xdr:colOff>
      <xdr:row>34</xdr:row>
      <xdr:rowOff>57223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5657850"/>
          <a:ext cx="600159" cy="533474"/>
        </a:xfrm>
        <a:prstGeom prst="rect">
          <a:avLst/>
        </a:prstGeom>
      </xdr:spPr>
    </xdr:pic>
    <xdr:clientData/>
  </xdr:twoCellAnchor>
  <xdr:oneCellAnchor>
    <xdr:from>
      <xdr:col>0</xdr:col>
      <xdr:colOff>561975</xdr:colOff>
      <xdr:row>49</xdr:row>
      <xdr:rowOff>47625</xdr:rowOff>
    </xdr:from>
    <xdr:ext cx="2169065" cy="609013"/>
    <xdr:sp macro="" textlink="">
      <xdr:nvSpPr>
        <xdr:cNvPr id="17" name="ZoneText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61975" y="861060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vous propose un accès aux descriptifs et</a:t>
          </a:r>
          <a:r>
            <a:rPr lang="fr-FR" sz="1100" b="1" baseline="0"/>
            <a:t> informations de chaque produit</a:t>
          </a:r>
          <a:endParaRPr lang="fr-FR" sz="1100" b="1"/>
        </a:p>
      </xdr:txBody>
    </xdr:sp>
    <xdr:clientData/>
  </xdr:oneCellAnchor>
  <xdr:twoCellAnchor>
    <xdr:from>
      <xdr:col>3</xdr:col>
      <xdr:colOff>219075</xdr:colOff>
      <xdr:row>50</xdr:row>
      <xdr:rowOff>152400</xdr:rowOff>
    </xdr:from>
    <xdr:to>
      <xdr:col>5</xdr:col>
      <xdr:colOff>19050</xdr:colOff>
      <xdr:row>51</xdr:row>
      <xdr:rowOff>76200</xdr:rowOff>
    </xdr:to>
    <xdr:cxnSp macro="">
      <xdr:nvCxnSpPr>
        <xdr:cNvPr id="18" name="Connecteur droit avec flèch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 bwMode="auto">
        <a:xfrm>
          <a:off x="2505075" y="8877300"/>
          <a:ext cx="1323975" cy="85725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14</xdr:col>
      <xdr:colOff>371475</xdr:colOff>
      <xdr:row>20</xdr:row>
      <xdr:rowOff>152400</xdr:rowOff>
    </xdr:from>
    <xdr:to>
      <xdr:col>15</xdr:col>
      <xdr:colOff>276225</xdr:colOff>
      <xdr:row>33</xdr:row>
      <xdr:rowOff>114300</xdr:rowOff>
    </xdr:to>
    <xdr:sp macro="" textlink="">
      <xdr:nvSpPr>
        <xdr:cNvPr id="22" name="Accolade fermant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 bwMode="auto">
        <a:xfrm>
          <a:off x="11039475" y="4019550"/>
          <a:ext cx="666750" cy="20669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14</xdr:col>
      <xdr:colOff>409575</xdr:colOff>
      <xdr:row>34</xdr:row>
      <xdr:rowOff>142875</xdr:rowOff>
    </xdr:from>
    <xdr:to>
      <xdr:col>15</xdr:col>
      <xdr:colOff>314325</xdr:colOff>
      <xdr:row>39</xdr:row>
      <xdr:rowOff>142875</xdr:rowOff>
    </xdr:to>
    <xdr:sp macro="" textlink="">
      <xdr:nvSpPr>
        <xdr:cNvPr id="23" name="Accolade fermant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 bwMode="auto">
        <a:xfrm>
          <a:off x="11077575" y="6276975"/>
          <a:ext cx="666750" cy="809625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285750</xdr:colOff>
      <xdr:row>24</xdr:row>
      <xdr:rowOff>66675</xdr:rowOff>
    </xdr:from>
    <xdr:ext cx="2169065" cy="1125693"/>
    <xdr:sp macro="" textlink="">
      <xdr:nvSpPr>
        <xdr:cNvPr id="24" name="ZoneText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1715750" y="4581525"/>
          <a:ext cx="2169065" cy="11256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zone des hypothèses de calcul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portées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charges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continuité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étaiement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fr-FR" sz="1100" b="1"/>
            <a:t>choix</a:t>
          </a:r>
          <a:r>
            <a:rPr lang="fr-FR" sz="1100" b="1" baseline="0"/>
            <a:t> de jumelage</a:t>
          </a:r>
          <a:endParaRPr lang="fr-FR" sz="1100" b="1"/>
        </a:p>
      </xdr:txBody>
    </xdr:sp>
    <xdr:clientData/>
  </xdr:oneCellAnchor>
  <xdr:oneCellAnchor>
    <xdr:from>
      <xdr:col>15</xdr:col>
      <xdr:colOff>390525</xdr:colOff>
      <xdr:row>35</xdr:row>
      <xdr:rowOff>85725</xdr:rowOff>
    </xdr:from>
    <xdr:ext cx="2169065" cy="609013"/>
    <xdr:sp macro="" textlink="">
      <xdr:nvSpPr>
        <xdr:cNvPr id="25" name="ZoneText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1820525" y="6381750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préconisation</a:t>
          </a:r>
          <a:r>
            <a:rPr lang="fr-FR" sz="1100" b="1" baseline="0"/>
            <a:t> SEAC du plancher minimum pour répondre aux hypothèses du projet </a:t>
          </a:r>
        </a:p>
      </xdr:txBody>
    </xdr:sp>
    <xdr:clientData/>
  </xdr:oneCellAnchor>
  <xdr:twoCellAnchor>
    <xdr:from>
      <xdr:col>14</xdr:col>
      <xdr:colOff>409575</xdr:colOff>
      <xdr:row>40</xdr:row>
      <xdr:rowOff>114300</xdr:rowOff>
    </xdr:from>
    <xdr:to>
      <xdr:col>15</xdr:col>
      <xdr:colOff>314325</xdr:colOff>
      <xdr:row>52</xdr:row>
      <xdr:rowOff>0</xdr:rowOff>
    </xdr:to>
    <xdr:sp macro="" textlink="">
      <xdr:nvSpPr>
        <xdr:cNvPr id="26" name="Accolade fermant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 bwMode="auto">
        <a:xfrm>
          <a:off x="11077575" y="7219950"/>
          <a:ext cx="666750" cy="1828800"/>
        </a:xfrm>
        <a:prstGeom prst="rightBrace">
          <a:avLst/>
        </a:prstGeom>
        <a:solidFill>
          <a:schemeClr val="bg1">
            <a:lumMod val="85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oneCellAnchor>
    <xdr:from>
      <xdr:col>15</xdr:col>
      <xdr:colOff>400050</xdr:colOff>
      <xdr:row>41</xdr:row>
      <xdr:rowOff>133350</xdr:rowOff>
    </xdr:from>
    <xdr:ext cx="2169065" cy="1297919"/>
    <xdr:sp macro="" textlink="">
      <xdr:nvSpPr>
        <xdr:cNvPr id="27" name="ZoneText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1830050" y="7400925"/>
          <a:ext cx="2169065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 cochant l'option "portée</a:t>
          </a:r>
          <a:r>
            <a:rPr lang="fr-FR" sz="1100" b="1" baseline="0"/>
            <a:t> maxi d'un montage",</a:t>
          </a:r>
        </a:p>
        <a:p>
          <a:r>
            <a:rPr lang="fr-FR" sz="1100" b="1" baseline="0"/>
            <a:t> l'outil vous permettra de choisir votre configuration de plancher et d'en obtenir la portée maximale pour les hypothèses </a:t>
          </a:r>
        </a:p>
        <a:p>
          <a:r>
            <a:rPr lang="fr-FR" sz="1100" b="1" baseline="0"/>
            <a:t>renseignées au dessus </a:t>
          </a:r>
        </a:p>
      </xdr:txBody>
    </xdr:sp>
    <xdr:clientData/>
  </xdr:oneCellAnchor>
  <xdr:oneCellAnchor>
    <xdr:from>
      <xdr:col>15</xdr:col>
      <xdr:colOff>161925</xdr:colOff>
      <xdr:row>51</xdr:row>
      <xdr:rowOff>38100</xdr:rowOff>
    </xdr:from>
    <xdr:ext cx="2169065" cy="609013"/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591925" y="8924925"/>
          <a:ext cx="2169065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1100" b="1"/>
            <a:t>envoi</a:t>
          </a:r>
          <a:r>
            <a:rPr lang="fr-FR" sz="1100" b="1" baseline="0"/>
            <a:t> un mail au be seac pour une demande de dimensionnement spécifique</a:t>
          </a:r>
          <a:endParaRPr lang="fr-FR" sz="1100" b="1"/>
        </a:p>
      </xdr:txBody>
    </xdr:sp>
    <xdr:clientData/>
  </xdr:oneCellAnchor>
  <xdr:twoCellAnchor editAs="oneCell">
    <xdr:from>
      <xdr:col>10</xdr:col>
      <xdr:colOff>457200</xdr:colOff>
      <xdr:row>51</xdr:row>
      <xdr:rowOff>38100</xdr:rowOff>
    </xdr:from>
    <xdr:to>
      <xdr:col>14</xdr:col>
      <xdr:colOff>228994</xdr:colOff>
      <xdr:row>54</xdr:row>
      <xdr:rowOff>114377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77200" y="8924925"/>
          <a:ext cx="2819794" cy="562053"/>
        </a:xfrm>
        <a:prstGeom prst="rect">
          <a:avLst/>
        </a:prstGeom>
      </xdr:spPr>
    </xdr:pic>
    <xdr:clientData/>
  </xdr:twoCellAnchor>
  <xdr:twoCellAnchor>
    <xdr:from>
      <xdr:col>13</xdr:col>
      <xdr:colOff>514350</xdr:colOff>
      <xdr:row>53</xdr:row>
      <xdr:rowOff>114300</xdr:rowOff>
    </xdr:from>
    <xdr:to>
      <xdr:col>15</xdr:col>
      <xdr:colOff>238125</xdr:colOff>
      <xdr:row>53</xdr:row>
      <xdr:rowOff>133350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 flipH="1">
          <a:off x="10420350" y="9324975"/>
          <a:ext cx="1247775" cy="1905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 editAs="oneCell">
    <xdr:from>
      <xdr:col>0</xdr:col>
      <xdr:colOff>226219</xdr:colOff>
      <xdr:row>1</xdr:row>
      <xdr:rowOff>47625</xdr:rowOff>
    </xdr:from>
    <xdr:to>
      <xdr:col>2</xdr:col>
      <xdr:colOff>193941</xdr:colOff>
      <xdr:row>3</xdr:row>
      <xdr:rowOff>233490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214313"/>
          <a:ext cx="1491722" cy="51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396198</xdr:colOff>
      <xdr:row>2</xdr:row>
      <xdr:rowOff>121735</xdr:rowOff>
    </xdr:from>
    <xdr:ext cx="3055709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8301948" y="44558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28</xdr:col>
      <xdr:colOff>329523</xdr:colOff>
      <xdr:row>2</xdr:row>
      <xdr:rowOff>140785</xdr:rowOff>
    </xdr:from>
    <xdr:ext cx="3055709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7455473" y="464635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  <xdr:oneCellAnchor>
    <xdr:from>
      <xdr:col>43</xdr:col>
      <xdr:colOff>234273</xdr:colOff>
      <xdr:row>2</xdr:row>
      <xdr:rowOff>74110</xdr:rowOff>
    </xdr:from>
    <xdr:ext cx="3055709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25570773" y="397960"/>
          <a:ext cx="305570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POLYSEAC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165604</xdr:colOff>
      <xdr:row>8</xdr:row>
      <xdr:rowOff>27314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975604" y="1352531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515975" y="58959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361576</xdr:colOff>
      <xdr:row>94</xdr:row>
      <xdr:rowOff>204648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2675873" y="14125039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35108029" y="1433232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667485</xdr:colOff>
      <xdr:row>0</xdr:row>
      <xdr:rowOff>159835</xdr:rowOff>
    </xdr:from>
    <xdr:ext cx="2284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239485" y="159835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14</xdr:col>
      <xdr:colOff>4765</xdr:colOff>
      <xdr:row>51</xdr:row>
      <xdr:rowOff>57624</xdr:rowOff>
    </xdr:from>
    <xdr:ext cx="2284536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8928957" y="780950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25</xdr:col>
      <xdr:colOff>615097</xdr:colOff>
      <xdr:row>0</xdr:row>
      <xdr:rowOff>131259</xdr:rowOff>
    </xdr:from>
    <xdr:ext cx="2284536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5855097" y="131259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42</xdr:col>
      <xdr:colOff>410310</xdr:colOff>
      <xdr:row>1</xdr:row>
      <xdr:rowOff>45534</xdr:rowOff>
    </xdr:from>
    <xdr:ext cx="2284536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25508685" y="212222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  <xdr:oneCellAnchor>
    <xdr:from>
      <xdr:col>36</xdr:col>
      <xdr:colOff>86460</xdr:colOff>
      <xdr:row>52</xdr:row>
      <xdr:rowOff>55059</xdr:rowOff>
    </xdr:from>
    <xdr:ext cx="2284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21803460" y="8198934"/>
          <a:ext cx="2284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plastivs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620484</xdr:colOff>
      <xdr:row>0</xdr:row>
      <xdr:rowOff>159835</xdr:rowOff>
    </xdr:from>
    <xdr:ext cx="2378536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192484" y="15983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24</xdr:col>
      <xdr:colOff>191859</xdr:colOff>
      <xdr:row>46</xdr:row>
      <xdr:rowOff>26485</xdr:rowOff>
    </xdr:from>
    <xdr:ext cx="2378536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4765109" y="691306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200025</xdr:colOff>
      <xdr:row>2</xdr:row>
      <xdr:rowOff>38100</xdr:rowOff>
    </xdr:from>
    <xdr:ext cx="2378536" cy="937629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9383375" y="3619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2378536" cy="937629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30460950" y="4857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104775</xdr:colOff>
      <xdr:row>46</xdr:row>
      <xdr:rowOff>142875</xdr:rowOff>
    </xdr:from>
    <xdr:ext cx="2378536" cy="937629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31594425" y="7029450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54</xdr:col>
      <xdr:colOff>117199</xdr:colOff>
      <xdr:row>88</xdr:row>
      <xdr:rowOff>109744</xdr:rowOff>
    </xdr:from>
    <xdr:ext cx="2378536" cy="937629"/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31574547" y="14438657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  <xdr:oneCellAnchor>
    <xdr:from>
      <xdr:col>32</xdr:col>
      <xdr:colOff>66675</xdr:colOff>
      <xdr:row>92</xdr:row>
      <xdr:rowOff>142875</xdr:rowOff>
    </xdr:from>
    <xdr:ext cx="2378536" cy="937629"/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19250025" y="14735175"/>
          <a:ext cx="237853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seacisol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438930</xdr:colOff>
      <xdr:row>0</xdr:row>
      <xdr:rowOff>159835</xdr:rowOff>
    </xdr:from>
    <xdr:ext cx="1217641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772930" y="15983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36</xdr:col>
      <xdr:colOff>734205</xdr:colOff>
      <xdr:row>1</xdr:row>
      <xdr:rowOff>121735</xdr:rowOff>
    </xdr:from>
    <xdr:ext cx="1217641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22222605" y="28366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21</xdr:col>
      <xdr:colOff>485775</xdr:colOff>
      <xdr:row>43</xdr:row>
      <xdr:rowOff>66675</xdr:rowOff>
    </xdr:from>
    <xdr:ext cx="1217641" cy="937629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13515975" y="6467475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39</xdr:col>
      <xdr:colOff>440951</xdr:colOff>
      <xdr:row>96</xdr:row>
      <xdr:rowOff>145117</xdr:rowOff>
    </xdr:from>
    <xdr:ext cx="1217641" cy="937629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3720051" y="14737417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37</xdr:col>
      <xdr:colOff>7374</xdr:colOff>
      <xdr:row>1</xdr:row>
      <xdr:rowOff>122468</xdr:rowOff>
    </xdr:from>
    <xdr:ext cx="1217641" cy="93762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22257774" y="284393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  <xdr:oneCellAnchor>
    <xdr:from>
      <xdr:col>59</xdr:col>
      <xdr:colOff>504264</xdr:colOff>
      <xdr:row>97</xdr:row>
      <xdr:rowOff>11205</xdr:rowOff>
    </xdr:from>
    <xdr:ext cx="1217641" cy="93762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35060964" y="14765430"/>
          <a:ext cx="121764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fr-FR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EBS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78320</xdr:colOff>
      <xdr:row>4</xdr:row>
      <xdr:rowOff>95250</xdr:rowOff>
    </xdr:from>
    <xdr:to>
      <xdr:col>2</xdr:col>
      <xdr:colOff>2041811</xdr:colOff>
      <xdr:row>5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8195" y="2009775"/>
          <a:ext cx="196349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25004</xdr:colOff>
      <xdr:row>5</xdr:row>
      <xdr:rowOff>52100</xdr:rowOff>
    </xdr:from>
    <xdr:to>
      <xdr:col>2</xdr:col>
      <xdr:colOff>2035969</xdr:colOff>
      <xdr:row>5</xdr:row>
      <xdr:rowOff>1250156</xdr:rowOff>
    </xdr:to>
    <xdr:pic>
      <xdr:nvPicPr>
        <xdr:cNvPr id="3" name="Image 2" descr="Montage d'un plancher hourdis EBS (Entrevous Bois SEAC Biosourcé)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879" y="1963053"/>
          <a:ext cx="2010965" cy="1198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9</xdr:row>
      <xdr:rowOff>35718</xdr:rowOff>
    </xdr:from>
    <xdr:to>
      <xdr:col>2</xdr:col>
      <xdr:colOff>2006203</xdr:colOff>
      <xdr:row>9</xdr:row>
      <xdr:rowOff>1229011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0" y="7018734"/>
          <a:ext cx="1958578" cy="1193293"/>
        </a:xfrm>
        <a:prstGeom prst="rect">
          <a:avLst/>
        </a:prstGeom>
      </xdr:spPr>
    </xdr:pic>
    <xdr:clientData/>
  </xdr:twoCellAnchor>
  <xdr:twoCellAnchor editAs="oneCell">
    <xdr:from>
      <xdr:col>2</xdr:col>
      <xdr:colOff>53578</xdr:colOff>
      <xdr:row>8</xdr:row>
      <xdr:rowOff>41673</xdr:rowOff>
    </xdr:from>
    <xdr:to>
      <xdr:col>2</xdr:col>
      <xdr:colOff>2024062</xdr:colOff>
      <xdr:row>8</xdr:row>
      <xdr:rowOff>1244203</xdr:rowOff>
    </xdr:to>
    <xdr:pic>
      <xdr:nvPicPr>
        <xdr:cNvPr id="8" name="Image 7" descr="Montage d'un plancher hourdis EBS (Entrevous Bois SEAC Biosourcé)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3453" y="5756673"/>
          <a:ext cx="1970484" cy="1202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35719</xdr:colOff>
      <xdr:row>7</xdr:row>
      <xdr:rowOff>29767</xdr:rowOff>
    </xdr:from>
    <xdr:to>
      <xdr:col>2</xdr:col>
      <xdr:colOff>2006203</xdr:colOff>
      <xdr:row>7</xdr:row>
      <xdr:rowOff>1250157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45594" y="4476751"/>
          <a:ext cx="1970484" cy="1220390"/>
        </a:xfrm>
        <a:prstGeom prst="rect">
          <a:avLst/>
        </a:prstGeom>
      </xdr:spPr>
    </xdr:pic>
    <xdr:clientData/>
  </xdr:twoCellAnchor>
  <xdr:twoCellAnchor editAs="oneCell">
    <xdr:from>
      <xdr:col>2</xdr:col>
      <xdr:colOff>33819</xdr:colOff>
      <xdr:row>6</xdr:row>
      <xdr:rowOff>41669</xdr:rowOff>
    </xdr:from>
    <xdr:to>
      <xdr:col>2</xdr:col>
      <xdr:colOff>2006202</xdr:colOff>
      <xdr:row>6</xdr:row>
      <xdr:rowOff>1232297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43694" y="3220638"/>
          <a:ext cx="1972383" cy="11906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image" Target="../media/image1.jpe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B40B-1FBC-44D4-A806-66C6210AD27D}">
  <sheetPr codeName="Feuil1">
    <pageSetUpPr fitToPage="1"/>
  </sheetPr>
  <dimension ref="G1:AM49"/>
  <sheetViews>
    <sheetView showGridLines="0" showRowColHeaders="0" tabSelected="1" zoomScale="90" zoomScaleNormal="90" workbookViewId="0">
      <selection activeCell="S10" sqref="S10"/>
    </sheetView>
  </sheetViews>
  <sheetFormatPr baseColWidth="10" defaultRowHeight="12.75" x14ac:dyDescent="0.2"/>
  <cols>
    <col min="6" max="6" width="1.7109375" customWidth="1"/>
    <col min="8" max="8" width="14.7109375" customWidth="1"/>
    <col min="9" max="9" width="12.7109375" customWidth="1"/>
    <col min="10" max="10" width="13.42578125" customWidth="1"/>
    <col min="11" max="11" width="4.140625" customWidth="1"/>
    <col min="12" max="12" width="10.28515625" customWidth="1"/>
    <col min="18" max="18" width="3.42578125" customWidth="1"/>
    <col min="19" max="19" width="15" style="49" bestFit="1" customWidth="1"/>
    <col min="22" max="26" width="11.42578125" customWidth="1"/>
    <col min="27" max="39" width="11.42578125" hidden="1" customWidth="1"/>
    <col min="40" max="41" width="0" hidden="1" customWidth="1"/>
  </cols>
  <sheetData>
    <row r="1" spans="7:38" ht="13.5" thickBot="1" x14ac:dyDescent="0.25"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9"/>
      <c r="T1" s="118"/>
      <c r="U1" s="118"/>
    </row>
    <row r="2" spans="7:38" ht="13.5" thickTop="1" x14ac:dyDescent="0.2">
      <c r="G2" s="52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4"/>
      <c r="T2" s="53"/>
      <c r="U2" s="55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</row>
    <row r="3" spans="7:38" x14ac:dyDescent="0.2">
      <c r="G3" s="56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8"/>
      <c r="T3" s="57"/>
      <c r="U3" s="59"/>
      <c r="AB3" s="120"/>
      <c r="AC3" s="120"/>
      <c r="AD3" s="120"/>
      <c r="AE3" s="120"/>
      <c r="AF3" s="121"/>
      <c r="AG3" s="121"/>
      <c r="AH3" s="121"/>
      <c r="AI3" s="121"/>
      <c r="AJ3" s="121"/>
      <c r="AK3" s="121"/>
      <c r="AL3" s="120"/>
    </row>
    <row r="4" spans="7:38" x14ac:dyDescent="0.2">
      <c r="G4" s="56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8"/>
      <c r="T4" s="57"/>
      <c r="U4" s="59"/>
      <c r="AB4" s="120"/>
      <c r="AC4" s="120"/>
      <c r="AD4" s="120"/>
      <c r="AE4" s="120"/>
      <c r="AF4" s="120" t="str">
        <f>+HLOOKUP(AC22,AF6:AK7,2,FALSE)</f>
        <v>POLYSEAC</v>
      </c>
      <c r="AG4" s="121"/>
      <c r="AH4" s="121"/>
      <c r="AI4" s="121"/>
      <c r="AJ4" s="121"/>
      <c r="AK4" s="121"/>
      <c r="AL4" s="120"/>
    </row>
    <row r="5" spans="7:38" x14ac:dyDescent="0.2">
      <c r="G5" s="56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8"/>
      <c r="T5" s="57"/>
      <c r="U5" s="59"/>
      <c r="AB5" s="120"/>
      <c r="AC5" s="120"/>
      <c r="AD5" s="120"/>
      <c r="AE5" s="120"/>
      <c r="AF5" s="121"/>
      <c r="AG5" s="121"/>
      <c r="AH5" s="121"/>
      <c r="AI5" s="121"/>
      <c r="AJ5" s="121"/>
      <c r="AK5" s="121"/>
      <c r="AL5" s="120"/>
    </row>
    <row r="6" spans="7:38" x14ac:dyDescent="0.2">
      <c r="G6" s="56"/>
      <c r="H6" s="57" t="s">
        <v>131</v>
      </c>
      <c r="I6" s="57"/>
      <c r="J6" s="57"/>
      <c r="K6" s="57"/>
      <c r="L6" s="57"/>
      <c r="M6" s="57"/>
      <c r="N6" s="57"/>
      <c r="O6" s="57"/>
      <c r="P6" s="57"/>
      <c r="Q6" s="57"/>
      <c r="R6" s="57"/>
      <c r="S6" s="58"/>
      <c r="T6" s="57"/>
      <c r="U6" s="59"/>
      <c r="AB6" s="120"/>
      <c r="AC6" s="120"/>
      <c r="AD6" s="120"/>
      <c r="AE6" s="120"/>
      <c r="AF6" s="121">
        <v>1</v>
      </c>
      <c r="AG6" s="121">
        <v>2</v>
      </c>
      <c r="AH6" s="121">
        <v>3</v>
      </c>
      <c r="AI6" s="121">
        <v>4</v>
      </c>
      <c r="AJ6" s="121">
        <v>5</v>
      </c>
      <c r="AK6" s="121">
        <v>6</v>
      </c>
      <c r="AL6" s="120"/>
    </row>
    <row r="7" spans="7:38" x14ac:dyDescent="0.2">
      <c r="G7" s="56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8"/>
      <c r="T7" s="57"/>
      <c r="U7" s="59"/>
      <c r="AB7" s="120"/>
      <c r="AC7" s="120"/>
      <c r="AD7" s="120"/>
      <c r="AE7" s="120"/>
      <c r="AF7" s="120" t="s">
        <v>23</v>
      </c>
      <c r="AG7" s="120" t="s">
        <v>19</v>
      </c>
      <c r="AH7" s="120" t="s">
        <v>21</v>
      </c>
      <c r="AI7" s="120" t="s">
        <v>29</v>
      </c>
      <c r="AJ7" s="120" t="s">
        <v>19</v>
      </c>
      <c r="AK7" s="120" t="s">
        <v>55</v>
      </c>
      <c r="AL7" s="120"/>
    </row>
    <row r="8" spans="7:38" x14ac:dyDescent="0.2">
      <c r="G8" s="56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8"/>
      <c r="T8" s="57"/>
      <c r="U8" s="59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</row>
    <row r="9" spans="7:38" ht="19.5" thickBot="1" x14ac:dyDescent="0.35">
      <c r="G9" s="56"/>
      <c r="H9" s="57"/>
      <c r="I9" s="60" t="s">
        <v>54</v>
      </c>
      <c r="J9" s="61"/>
      <c r="K9" s="57"/>
      <c r="L9" s="57"/>
      <c r="M9" s="57"/>
      <c r="N9" s="57"/>
      <c r="O9" s="57"/>
      <c r="P9" s="57"/>
      <c r="Q9" s="57"/>
      <c r="R9" s="57"/>
      <c r="S9" s="58"/>
      <c r="T9" s="57"/>
      <c r="U9" s="59"/>
      <c r="AB9" s="122" t="s">
        <v>20</v>
      </c>
      <c r="AC9" s="120" t="s">
        <v>90</v>
      </c>
      <c r="AD9" s="120"/>
      <c r="AE9" s="120"/>
      <c r="AF9" s="120">
        <v>12</v>
      </c>
      <c r="AG9" s="120">
        <v>12</v>
      </c>
      <c r="AH9" s="120">
        <v>12</v>
      </c>
      <c r="AI9" s="120" t="s">
        <v>56</v>
      </c>
      <c r="AJ9" s="120">
        <v>12</v>
      </c>
      <c r="AK9" s="120" t="s">
        <v>59</v>
      </c>
      <c r="AL9" s="120"/>
    </row>
    <row r="10" spans="7:38" ht="16.5" customHeight="1" thickTop="1" x14ac:dyDescent="0.25">
      <c r="G10" s="56"/>
      <c r="H10" s="57"/>
      <c r="I10" s="62"/>
      <c r="J10" s="57"/>
      <c r="K10" s="57"/>
      <c r="L10" s="57"/>
      <c r="M10" s="57"/>
      <c r="N10" s="57"/>
      <c r="O10" s="57"/>
      <c r="P10" s="57"/>
      <c r="Q10" s="63" t="s">
        <v>17</v>
      </c>
      <c r="R10" s="64"/>
      <c r="S10" s="50">
        <v>5</v>
      </c>
      <c r="T10" s="57" t="s">
        <v>62</v>
      </c>
      <c r="U10" s="59"/>
      <c r="AB10" s="120"/>
      <c r="AC10" s="120" t="s">
        <v>91</v>
      </c>
      <c r="AD10" s="120"/>
      <c r="AE10" s="120"/>
      <c r="AF10" s="120">
        <v>15</v>
      </c>
      <c r="AG10" s="120">
        <v>15</v>
      </c>
      <c r="AH10" s="120">
        <v>15</v>
      </c>
      <c r="AI10" s="120" t="s">
        <v>57</v>
      </c>
      <c r="AJ10" s="120">
        <v>15</v>
      </c>
      <c r="AK10" s="120">
        <v>15</v>
      </c>
      <c r="AL10" s="120"/>
    </row>
    <row r="11" spans="7:38" ht="5.0999999999999996" customHeight="1" thickBot="1" x14ac:dyDescent="0.25">
      <c r="G11" s="56"/>
      <c r="H11" s="57"/>
      <c r="I11" s="57"/>
      <c r="J11" s="57"/>
      <c r="K11" s="57"/>
      <c r="L11" s="57"/>
      <c r="M11" s="57"/>
      <c r="N11" s="57"/>
      <c r="O11" s="57"/>
      <c r="P11" s="57"/>
      <c r="Q11" s="63"/>
      <c r="R11" s="64"/>
      <c r="S11" s="57"/>
      <c r="T11" s="57"/>
      <c r="U11" s="59"/>
      <c r="AB11" s="120"/>
      <c r="AC11" s="120"/>
      <c r="AD11" s="120"/>
      <c r="AE11" s="120"/>
      <c r="AF11" s="120">
        <v>20</v>
      </c>
      <c r="AG11" s="120">
        <v>20</v>
      </c>
      <c r="AH11" s="120" t="s">
        <v>59</v>
      </c>
      <c r="AI11" s="120" t="s">
        <v>58</v>
      </c>
      <c r="AJ11" s="120">
        <v>20</v>
      </c>
      <c r="AK11" s="123" t="s">
        <v>60</v>
      </c>
      <c r="AL11" s="120"/>
    </row>
    <row r="12" spans="7:38" ht="16.5" customHeight="1" thickTop="1" x14ac:dyDescent="0.2">
      <c r="G12" s="56"/>
      <c r="H12" s="57"/>
      <c r="I12" s="57"/>
      <c r="J12" s="57"/>
      <c r="K12" s="57"/>
      <c r="L12" s="57"/>
      <c r="M12" s="57"/>
      <c r="N12" s="57"/>
      <c r="O12" s="57"/>
      <c r="P12" s="57"/>
      <c r="Q12" s="63" t="s">
        <v>18</v>
      </c>
      <c r="R12" s="64"/>
      <c r="S12" s="51">
        <v>250</v>
      </c>
      <c r="T12" s="57" t="str">
        <f>+IF(S12&gt;500,"charge max 500kg/m²","kg/m²")</f>
        <v>kg/m²</v>
      </c>
      <c r="U12" s="59"/>
      <c r="AB12" s="122"/>
      <c r="AC12" s="120"/>
      <c r="AD12" s="120"/>
      <c r="AE12" s="120"/>
      <c r="AF12" s="120"/>
      <c r="AG12" s="120"/>
      <c r="AH12" s="120"/>
      <c r="AI12" s="120"/>
      <c r="AJ12" s="120"/>
      <c r="AK12" s="120"/>
      <c r="AL12" s="120"/>
    </row>
    <row r="13" spans="7:38" ht="5.0999999999999996" customHeight="1" thickBot="1" x14ac:dyDescent="0.25">
      <c r="G13" s="56"/>
      <c r="H13" s="57"/>
      <c r="I13" s="57"/>
      <c r="J13" s="57"/>
      <c r="K13" s="57"/>
      <c r="L13" s="57"/>
      <c r="M13" s="57"/>
      <c r="N13" s="57"/>
      <c r="O13" s="57"/>
      <c r="P13" s="57"/>
      <c r="Q13" s="65"/>
      <c r="R13" s="57"/>
      <c r="S13" s="57"/>
      <c r="T13" s="57"/>
      <c r="U13" s="59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</row>
    <row r="14" spans="7:38" ht="16.5" customHeight="1" thickTop="1" x14ac:dyDescent="0.2">
      <c r="G14" s="56"/>
      <c r="H14" s="57"/>
      <c r="I14" s="57"/>
      <c r="J14" s="57"/>
      <c r="K14" s="57"/>
      <c r="L14" s="57"/>
      <c r="M14" s="57"/>
      <c r="N14" s="57"/>
      <c r="O14" s="57"/>
      <c r="P14" s="64"/>
      <c r="Q14" s="63" t="s">
        <v>31</v>
      </c>
      <c r="R14" s="57"/>
      <c r="S14" s="51">
        <v>150</v>
      </c>
      <c r="T14" s="57" t="s">
        <v>63</v>
      </c>
      <c r="U14" s="59"/>
      <c r="AB14" s="120"/>
      <c r="AC14" s="120"/>
      <c r="AD14" s="120"/>
      <c r="AE14" s="120">
        <v>30</v>
      </c>
      <c r="AF14" s="120"/>
      <c r="AG14" s="120"/>
      <c r="AH14" s="120" t="s">
        <v>30</v>
      </c>
      <c r="AI14" s="120"/>
      <c r="AJ14" s="120"/>
      <c r="AK14" s="120"/>
      <c r="AL14" s="120"/>
    </row>
    <row r="15" spans="7:38" x14ac:dyDescent="0.2">
      <c r="G15" s="56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8"/>
      <c r="T15" s="57"/>
      <c r="U15" s="59"/>
      <c r="AB15" s="122" t="s">
        <v>22</v>
      </c>
      <c r="AC15" s="120">
        <v>1</v>
      </c>
      <c r="AD15" s="120" t="str">
        <f>+IF(AC15=1,"AL","1C")</f>
        <v>AL</v>
      </c>
      <c r="AE15" s="120">
        <v>60</v>
      </c>
      <c r="AF15" s="120">
        <f>+HLOOKUP(AF4,AF7:AK10,3,FALSE)</f>
        <v>12</v>
      </c>
      <c r="AG15" s="120"/>
      <c r="AH15" s="120">
        <v>5</v>
      </c>
      <c r="AI15" s="120"/>
      <c r="AJ15" s="120"/>
      <c r="AK15" s="120"/>
      <c r="AL15" s="120"/>
    </row>
    <row r="16" spans="7:38" x14ac:dyDescent="0.2">
      <c r="G16" s="56"/>
      <c r="H16" s="66" t="s">
        <v>23</v>
      </c>
      <c r="I16" s="66" t="s">
        <v>19</v>
      </c>
      <c r="J16" s="63" t="s">
        <v>21</v>
      </c>
      <c r="K16" s="57"/>
      <c r="L16" s="63" t="s">
        <v>29</v>
      </c>
      <c r="M16" s="57"/>
      <c r="N16" s="57"/>
      <c r="O16" s="57"/>
      <c r="P16" s="57"/>
      <c r="Q16" s="57"/>
      <c r="R16" s="57"/>
      <c r="S16" s="58"/>
      <c r="T16" s="57"/>
      <c r="U16" s="59"/>
      <c r="AB16" s="120"/>
      <c r="AC16" s="120"/>
      <c r="AD16" s="120"/>
      <c r="AE16" s="120"/>
      <c r="AF16" s="120">
        <f>+HLOOKUP(AF4,AF7:AK11,4,FALSE)</f>
        <v>15</v>
      </c>
      <c r="AG16" s="120"/>
      <c r="AH16" s="120">
        <v>6</v>
      </c>
      <c r="AI16" s="120"/>
      <c r="AJ16" s="120"/>
      <c r="AK16" s="120"/>
      <c r="AL16" s="120"/>
    </row>
    <row r="17" spans="7:38" x14ac:dyDescent="0.2">
      <c r="G17" s="56"/>
      <c r="H17" s="57"/>
      <c r="I17" s="57"/>
      <c r="J17" s="57"/>
      <c r="K17" s="57"/>
      <c r="L17" s="57"/>
      <c r="M17" s="57"/>
      <c r="N17" s="57"/>
      <c r="O17" s="57"/>
      <c r="P17" s="57"/>
      <c r="Q17" s="63" t="s">
        <v>22</v>
      </c>
      <c r="R17" s="66"/>
      <c r="S17" s="66"/>
      <c r="T17" s="57"/>
      <c r="U17" s="59"/>
      <c r="AB17" s="122" t="s">
        <v>86</v>
      </c>
      <c r="AC17" s="120">
        <v>1</v>
      </c>
      <c r="AD17" s="120"/>
      <c r="AE17" s="120"/>
      <c r="AF17" s="120">
        <f>+HLOOKUP(AF4,AF7:AK11,5,FALSE)</f>
        <v>20</v>
      </c>
      <c r="AG17" s="120"/>
      <c r="AH17" s="120">
        <v>7</v>
      </c>
      <c r="AI17" s="120"/>
      <c r="AJ17" s="120"/>
      <c r="AK17" s="120"/>
      <c r="AL17" s="120"/>
    </row>
    <row r="18" spans="7:38" ht="13.5" thickBot="1" x14ac:dyDescent="0.25">
      <c r="G18" s="56"/>
      <c r="H18" s="57"/>
      <c r="I18" s="57"/>
      <c r="J18" s="57"/>
      <c r="K18" s="57"/>
      <c r="L18" s="57"/>
      <c r="M18" s="57"/>
      <c r="N18" s="57"/>
      <c r="O18" s="57"/>
      <c r="P18" s="57"/>
      <c r="Q18" s="66"/>
      <c r="R18" s="66"/>
      <c r="S18" s="66"/>
      <c r="T18" s="57"/>
      <c r="U18" s="59"/>
      <c r="AB18" s="120"/>
      <c r="AC18" s="120" t="b">
        <v>1</v>
      </c>
      <c r="AD18" s="120"/>
      <c r="AE18" s="120"/>
      <c r="AF18" s="120"/>
      <c r="AG18" s="120"/>
      <c r="AH18" s="120">
        <v>8</v>
      </c>
      <c r="AI18" s="120"/>
      <c r="AJ18" s="120"/>
      <c r="AK18" s="120"/>
      <c r="AL18" s="120"/>
    </row>
    <row r="19" spans="7:38" ht="16.5" customHeight="1" thickTop="1" x14ac:dyDescent="0.3">
      <c r="G19" s="56"/>
      <c r="H19" s="57"/>
      <c r="I19" s="67" t="s">
        <v>95</v>
      </c>
      <c r="J19" s="57"/>
      <c r="K19" s="57"/>
      <c r="L19" s="57"/>
      <c r="M19" s="57"/>
      <c r="N19" s="57"/>
      <c r="O19" s="57"/>
      <c r="P19" s="57"/>
      <c r="Q19" s="65" t="s">
        <v>20</v>
      </c>
      <c r="R19" s="57"/>
      <c r="S19" s="51" t="s">
        <v>90</v>
      </c>
      <c r="T19" s="57"/>
      <c r="U19" s="59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</row>
    <row r="20" spans="7:38" ht="16.5" customHeight="1" x14ac:dyDescent="0.3">
      <c r="G20" s="56"/>
      <c r="H20" s="66"/>
      <c r="I20" s="66"/>
      <c r="J20" s="63"/>
      <c r="K20" s="57"/>
      <c r="L20" s="68" t="s">
        <v>61</v>
      </c>
      <c r="M20" s="65"/>
      <c r="N20" s="57"/>
      <c r="O20" s="57"/>
      <c r="P20" s="57"/>
      <c r="Q20" s="57"/>
      <c r="R20" s="57"/>
      <c r="S20" s="58"/>
      <c r="T20" s="57"/>
      <c r="U20" s="59"/>
      <c r="AB20" s="120" t="s">
        <v>127</v>
      </c>
      <c r="AC20" s="120" t="b">
        <v>0</v>
      </c>
      <c r="AD20" s="120"/>
      <c r="AE20" s="120"/>
      <c r="AF20" s="120"/>
      <c r="AG20" s="120"/>
      <c r="AH20" s="120" t="s">
        <v>32</v>
      </c>
      <c r="AI20" s="120"/>
      <c r="AJ20" s="120" t="s">
        <v>33</v>
      </c>
      <c r="AK20" s="120">
        <f t="array" ref="AK20">+MIN(IF(AJ21:AJ29&gt;S12,AJ21:AJ29))</f>
        <v>251</v>
      </c>
      <c r="AL20" s="120"/>
    </row>
    <row r="21" spans="7:38" ht="15.75" thickBot="1" x14ac:dyDescent="0.35">
      <c r="G21" s="56"/>
      <c r="H21" s="66"/>
      <c r="I21" s="66"/>
      <c r="J21" s="63"/>
      <c r="K21" s="57"/>
      <c r="L21" s="68"/>
      <c r="M21" s="65"/>
      <c r="N21" s="57"/>
      <c r="O21" s="57"/>
      <c r="P21" s="57"/>
      <c r="Q21" s="65" t="s">
        <v>102</v>
      </c>
      <c r="R21" s="57"/>
      <c r="S21" s="58"/>
      <c r="T21" s="57"/>
      <c r="U21" s="59"/>
      <c r="AB21" s="120"/>
      <c r="AC21" s="120"/>
      <c r="AD21" s="120"/>
      <c r="AE21" s="120"/>
      <c r="AF21" s="120"/>
      <c r="AG21" s="120"/>
      <c r="AH21" s="120"/>
      <c r="AI21" s="120"/>
      <c r="AJ21" s="120">
        <v>51</v>
      </c>
      <c r="AK21" s="120"/>
      <c r="AL21" s="120"/>
    </row>
    <row r="22" spans="7:38" ht="15.75" customHeight="1" thickTop="1" x14ac:dyDescent="0.3">
      <c r="G22" s="56"/>
      <c r="H22" s="57"/>
      <c r="I22" s="57"/>
      <c r="J22" s="57"/>
      <c r="K22" s="57"/>
      <c r="L22" s="93">
        <v>30</v>
      </c>
      <c r="M22" s="57"/>
      <c r="N22" s="57"/>
      <c r="O22" s="57"/>
      <c r="P22" s="57"/>
      <c r="Q22" s="57"/>
      <c r="R22" s="57"/>
      <c r="S22" s="58"/>
      <c r="T22" s="57"/>
      <c r="U22" s="59"/>
      <c r="AB22" s="122" t="s">
        <v>26</v>
      </c>
      <c r="AC22" s="120">
        <v>1</v>
      </c>
      <c r="AD22" s="120" t="e">
        <f>+HLOOKUP(AC22,AF3:AK7,2,FALSE)</f>
        <v>#N/A</v>
      </c>
      <c r="AE22" s="120"/>
      <c r="AF22" s="120"/>
      <c r="AG22" s="120"/>
      <c r="AH22" s="120">
        <v>150</v>
      </c>
      <c r="AI22" s="120"/>
      <c r="AJ22" s="120">
        <v>101</v>
      </c>
      <c r="AK22" s="120"/>
      <c r="AL22" s="120"/>
    </row>
    <row r="23" spans="7:38" ht="15.95" customHeight="1" thickBot="1" x14ac:dyDescent="0.35">
      <c r="G23" s="56"/>
      <c r="H23" s="57"/>
      <c r="I23" s="57"/>
      <c r="J23" s="57"/>
      <c r="K23" s="57"/>
      <c r="L23" s="57"/>
      <c r="M23" s="57"/>
      <c r="N23" s="57"/>
      <c r="O23" s="57"/>
      <c r="P23" s="57"/>
      <c r="Q23" s="133" t="s">
        <v>163</v>
      </c>
      <c r="R23" s="133"/>
      <c r="S23" s="133"/>
      <c r="T23" s="57"/>
      <c r="U23" s="59"/>
      <c r="AB23" s="120" t="s">
        <v>164</v>
      </c>
      <c r="AC23" s="120"/>
      <c r="AD23" s="120"/>
      <c r="AE23" s="120"/>
      <c r="AF23" s="120"/>
      <c r="AG23" s="120"/>
      <c r="AH23" s="120">
        <v>250</v>
      </c>
      <c r="AI23" s="120"/>
      <c r="AJ23" s="120">
        <v>151</v>
      </c>
      <c r="AK23" s="120"/>
      <c r="AL23" s="120"/>
    </row>
    <row r="24" spans="7:38" ht="19.5" thickTop="1" x14ac:dyDescent="0.2">
      <c r="G24" s="56"/>
      <c r="H24" s="57"/>
      <c r="I24" s="66" t="s">
        <v>19</v>
      </c>
      <c r="J24" s="65" t="s">
        <v>165</v>
      </c>
      <c r="K24" s="57"/>
      <c r="L24" s="57"/>
      <c r="M24" s="57"/>
      <c r="N24" s="57"/>
      <c r="O24" s="57"/>
      <c r="P24" s="127" t="str">
        <f>IF($AC$17=1,+HLOOKUP($AC$22,AC32:AH41,8,FALSE),+HLOOKUP($AC$22,AC32:AH47,14,FALSE))</f>
        <v>plancher POLYSEAC 12+5</v>
      </c>
      <c r="Q24" s="128"/>
      <c r="R24" s="128"/>
      <c r="S24" s="128"/>
      <c r="T24" s="128"/>
      <c r="U24" s="59"/>
      <c r="AB24" s="120"/>
      <c r="AC24" s="120"/>
      <c r="AD24" s="120"/>
      <c r="AE24" s="120"/>
      <c r="AF24" s="120"/>
      <c r="AG24" s="120"/>
      <c r="AH24" s="120">
        <v>400</v>
      </c>
      <c r="AI24" s="120"/>
      <c r="AJ24" s="120">
        <v>201</v>
      </c>
      <c r="AK24" s="120"/>
      <c r="AL24" s="120"/>
    </row>
    <row r="25" spans="7:38" ht="16.5" customHeight="1" x14ac:dyDescent="0.2">
      <c r="G25" s="56"/>
      <c r="H25" s="57"/>
      <c r="I25" s="57"/>
      <c r="J25" s="57"/>
      <c r="K25" s="57"/>
      <c r="L25" s="57"/>
      <c r="M25" s="57"/>
      <c r="N25" s="57"/>
      <c r="O25" s="66"/>
      <c r="P25" s="69"/>
      <c r="Q25" s="129" t="str">
        <f>IF(AC22=5,"pose avec 1 file d'étai",+IF(S19="avec etai","pose avec 1 file d'étai","pose sans étai"))</f>
        <v>pose avec 1 file d'étai</v>
      </c>
      <c r="R25" s="129"/>
      <c r="S25" s="129"/>
      <c r="T25" s="70"/>
      <c r="U25" s="59"/>
      <c r="AB25" s="120"/>
      <c r="AC25" s="120"/>
      <c r="AD25" s="120"/>
      <c r="AE25" s="120"/>
      <c r="AF25" s="120"/>
      <c r="AG25" s="120"/>
      <c r="AH25" s="120"/>
      <c r="AI25" s="120"/>
      <c r="AJ25" s="120">
        <v>251</v>
      </c>
      <c r="AK25" s="120"/>
      <c r="AL25" s="120"/>
    </row>
    <row r="26" spans="7:38" x14ac:dyDescent="0.2">
      <c r="G26" s="56"/>
      <c r="H26" s="57"/>
      <c r="I26" s="57"/>
      <c r="J26" s="57"/>
      <c r="K26" s="57"/>
      <c r="L26" s="57"/>
      <c r="M26" s="71" t="s">
        <v>147</v>
      </c>
      <c r="N26" s="57"/>
      <c r="O26" s="57"/>
      <c r="P26" s="136" t="s">
        <v>92</v>
      </c>
      <c r="Q26" s="135"/>
      <c r="R26" s="135"/>
      <c r="S26" s="72">
        <f>IF($AC$17=1,+HLOOKUP($AC$22,AC32:AH41,9,FALSE),+HLOOKUP($AC$22,AC32:AH47,15,FALSE))</f>
        <v>180</v>
      </c>
      <c r="T26" s="73"/>
      <c r="U26" s="59"/>
      <c r="AB26" s="120" t="s">
        <v>88</v>
      </c>
      <c r="AC26" s="120">
        <v>1</v>
      </c>
      <c r="AD26" s="120">
        <v>2</v>
      </c>
      <c r="AE26" s="120">
        <v>3</v>
      </c>
      <c r="AF26" s="120">
        <v>4</v>
      </c>
      <c r="AG26" s="120">
        <v>5</v>
      </c>
      <c r="AH26" s="120">
        <v>6</v>
      </c>
      <c r="AI26" s="120"/>
      <c r="AJ26" s="120">
        <v>301</v>
      </c>
      <c r="AK26" s="120"/>
      <c r="AL26" s="120"/>
    </row>
    <row r="27" spans="7:38" ht="15.75" x14ac:dyDescent="0.25">
      <c r="G27" s="56"/>
      <c r="H27" s="57"/>
      <c r="I27" s="62"/>
      <c r="J27" s="57"/>
      <c r="K27" s="57"/>
      <c r="L27" s="57"/>
      <c r="M27" s="71" t="s">
        <v>148</v>
      </c>
      <c r="N27" s="57"/>
      <c r="O27" s="57"/>
      <c r="P27" s="74"/>
      <c r="Q27" s="135" t="s">
        <v>73</v>
      </c>
      <c r="R27" s="135"/>
      <c r="S27" s="75">
        <f>IF($AC$17=1,+HLOOKUP($AC$22,AC32:AH41,10,FALSE),+HLOOKUP($AC$22,AC32:AH47,16,FALSE))</f>
        <v>62</v>
      </c>
      <c r="T27" s="73"/>
      <c r="U27" s="59"/>
      <c r="AB27" s="120" t="s">
        <v>64</v>
      </c>
      <c r="AC27" s="120">
        <f>+polyseac!G50</f>
        <v>5.05</v>
      </c>
      <c r="AD27" s="120">
        <f>+ebsvs!G50</f>
        <v>5</v>
      </c>
      <c r="AE27" s="120">
        <f>+plastivs!G50</f>
        <v>5.2</v>
      </c>
      <c r="AF27" s="120" t="str">
        <f>+seacisol!G50</f>
        <v>non disponible</v>
      </c>
      <c r="AG27" s="120">
        <f>+ebset!G50</f>
        <v>5</v>
      </c>
      <c r="AH27" s="120">
        <f>+ebset!G50</f>
        <v>5</v>
      </c>
      <c r="AI27" s="120"/>
      <c r="AJ27" s="120">
        <v>401</v>
      </c>
      <c r="AK27" s="120"/>
      <c r="AL27" s="120"/>
    </row>
    <row r="28" spans="7:38" ht="15" customHeight="1" x14ac:dyDescent="0.2">
      <c r="G28" s="56"/>
      <c r="H28" s="57"/>
      <c r="I28" s="66"/>
      <c r="J28" s="65"/>
      <c r="K28" s="57"/>
      <c r="L28" s="57"/>
      <c r="M28" s="71" t="s">
        <v>149</v>
      </c>
      <c r="N28" s="57"/>
      <c r="O28" s="57"/>
      <c r="P28" s="94"/>
      <c r="Q28" s="125" t="s">
        <v>152</v>
      </c>
      <c r="R28" s="95"/>
      <c r="S28" s="96">
        <f>+AF42</f>
        <v>22</v>
      </c>
      <c r="T28" s="95"/>
      <c r="U28" s="59"/>
      <c r="AB28" s="120" t="s">
        <v>71</v>
      </c>
      <c r="AC28" s="120">
        <f>+polyseac!G51</f>
        <v>180</v>
      </c>
      <c r="AD28" s="120">
        <f>+ebsvs!G51</f>
        <v>188</v>
      </c>
      <c r="AE28" s="120">
        <f>+plastivs!G51</f>
        <v>205</v>
      </c>
      <c r="AF28" s="120">
        <f>+seacisol!G51</f>
        <v>0</v>
      </c>
      <c r="AG28" s="120">
        <f>+ebset!G51</f>
        <v>188</v>
      </c>
      <c r="AH28" s="120">
        <f>+ebset!G51</f>
        <v>188</v>
      </c>
      <c r="AI28" s="120"/>
      <c r="AJ28" s="120">
        <v>501</v>
      </c>
      <c r="AK28" s="120"/>
      <c r="AL28" s="120"/>
    </row>
    <row r="29" spans="7:38" ht="20.100000000000001" customHeight="1" x14ac:dyDescent="0.25">
      <c r="G29" s="56"/>
      <c r="H29" s="57"/>
      <c r="I29" s="66"/>
      <c r="J29" s="65"/>
      <c r="K29" s="57"/>
      <c r="L29" s="57"/>
      <c r="M29" s="71" t="s">
        <v>150</v>
      </c>
      <c r="N29" s="57"/>
      <c r="O29" s="57"/>
      <c r="P29" s="134" t="s">
        <v>153</v>
      </c>
      <c r="Q29" s="134"/>
      <c r="R29" s="134"/>
      <c r="S29" s="134"/>
      <c r="T29" s="134"/>
      <c r="U29" s="59"/>
      <c r="AB29" s="120" t="s">
        <v>72</v>
      </c>
      <c r="AC29" s="120">
        <f>+polyseac!G52</f>
        <v>62</v>
      </c>
      <c r="AD29" s="120">
        <f>+ebsvs!G52</f>
        <v>62.5</v>
      </c>
      <c r="AE29" s="120">
        <f>+plastivs!G52</f>
        <v>71.5</v>
      </c>
      <c r="AF29" s="120">
        <f>+seacisol!G52</f>
        <v>0</v>
      </c>
      <c r="AG29" s="120">
        <f>+ebset!G52</f>
        <v>62.5</v>
      </c>
      <c r="AH29" s="120">
        <f>+ebset!G52</f>
        <v>62.5</v>
      </c>
      <c r="AI29" s="120"/>
      <c r="AJ29" s="120"/>
      <c r="AK29" s="120"/>
      <c r="AL29" s="120"/>
    </row>
    <row r="30" spans="7:38" ht="19.5" customHeight="1" thickBot="1" x14ac:dyDescent="0.25">
      <c r="G30" s="56"/>
      <c r="H30" s="57"/>
      <c r="I30" s="57"/>
      <c r="J30" s="57"/>
      <c r="K30" s="57"/>
      <c r="L30" s="57"/>
      <c r="M30" s="57"/>
      <c r="N30" s="57"/>
      <c r="O30" s="57"/>
      <c r="P30" s="57"/>
      <c r="Q30" s="63" t="s">
        <v>27</v>
      </c>
      <c r="R30" s="57"/>
      <c r="S30" s="76" t="s">
        <v>28</v>
      </c>
      <c r="T30" s="57"/>
      <c r="U30" s="59"/>
      <c r="AB30" s="120" t="s">
        <v>65</v>
      </c>
      <c r="AC30" s="120" t="str">
        <f>IF(Q31&gt;20,"hauteur hourdis non disponible",+"plancher"&amp;" "&amp;"POLYSEAC"&amp;" "&amp;Q31&amp;" "&amp;"+" &amp;" "&amp;S31)</f>
        <v>plancher POLYSEAC 12 + 5</v>
      </c>
      <c r="AD30" s="120" t="str">
        <f>IF(Q31&gt;20,"hauteur hourdis non disponible",+"plancher"&amp;" "&amp;"EBS"&amp;" "&amp;Q31&amp;" "&amp;"+" &amp;" "&amp;S31)</f>
        <v>plancher EBS 12 + 5</v>
      </c>
      <c r="AE30" s="120" t="str">
        <f>IF(Q31&gt;15,"hauteur hourdis non disponible",+"plancher"&amp;" "&amp;"PLASTIVS"&amp;" "&amp;Q31&amp;" "&amp;"+" &amp;" "&amp;S31)</f>
        <v>plancher PLASTIVS 12 + 5</v>
      </c>
      <c r="AF30" s="120" t="str">
        <f>+seacisol!G45</f>
        <v>choisir un seacisol</v>
      </c>
      <c r="AG30" s="120" t="str">
        <f>+ebset!G45</f>
        <v>plancher EBS 12 + 5</v>
      </c>
      <c r="AH30" s="120" t="str">
        <f>+ebset!B44</f>
        <v xml:space="preserve">predal-seacoustic hauteur hourdis 15 mini </v>
      </c>
      <c r="AI30" s="120"/>
      <c r="AJ30" s="120"/>
      <c r="AK30" s="120"/>
      <c r="AL30" s="120"/>
    </row>
    <row r="31" spans="7:38" ht="16.5" customHeight="1" thickTop="1" x14ac:dyDescent="0.35">
      <c r="G31" s="56"/>
      <c r="H31" s="57"/>
      <c r="I31" s="57"/>
      <c r="J31" s="57"/>
      <c r="K31" s="57"/>
      <c r="L31" s="57"/>
      <c r="M31" s="57"/>
      <c r="N31" s="57"/>
      <c r="O31" s="57"/>
      <c r="P31" s="57"/>
      <c r="Q31" s="92">
        <v>12</v>
      </c>
      <c r="R31" s="77" t="s">
        <v>53</v>
      </c>
      <c r="S31" s="92">
        <v>5</v>
      </c>
      <c r="T31" s="57"/>
      <c r="U31" s="5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</row>
    <row r="32" spans="7:38" x14ac:dyDescent="0.2">
      <c r="G32" s="78">
        <f>+AC22</f>
        <v>1</v>
      </c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8"/>
      <c r="T32" s="57"/>
      <c r="U32" s="59"/>
      <c r="AB32" s="120" t="s">
        <v>89</v>
      </c>
      <c r="AC32" s="120">
        <v>1</v>
      </c>
      <c r="AD32" s="120">
        <v>2</v>
      </c>
      <c r="AE32" s="120">
        <v>3</v>
      </c>
      <c r="AF32" s="120">
        <v>4</v>
      </c>
      <c r="AG32" s="120">
        <v>5</v>
      </c>
      <c r="AH32" s="120">
        <v>6</v>
      </c>
      <c r="AI32" s="120"/>
      <c r="AJ32" s="120"/>
      <c r="AK32" s="120"/>
      <c r="AL32" s="120"/>
    </row>
    <row r="33" spans="7:38" ht="15.75" x14ac:dyDescent="0.25">
      <c r="G33" s="56"/>
      <c r="H33" s="57"/>
      <c r="I33" s="57"/>
      <c r="J33" s="57"/>
      <c r="K33" s="57"/>
      <c r="L33" s="57"/>
      <c r="M33" s="57"/>
      <c r="N33" s="57"/>
      <c r="O33" s="57"/>
      <c r="P33" s="79"/>
      <c r="Q33" s="64"/>
      <c r="R33" s="64" t="s">
        <v>146</v>
      </c>
      <c r="S33" s="126">
        <f>IF(AC17=1,+HLOOKUP(AC22,AC26:AH27,2,FALSE),+HLOOKUP(AC22,AC32:AH33,2,FALSE))</f>
        <v>5.05</v>
      </c>
      <c r="T33" s="57"/>
      <c r="U33" s="59"/>
      <c r="AB33" s="120" t="s">
        <v>64</v>
      </c>
      <c r="AC33" s="120" t="s">
        <v>94</v>
      </c>
      <c r="AD33" s="120">
        <f>+ebsvs!G96</f>
        <v>5.7</v>
      </c>
      <c r="AE33" s="120">
        <f>+plastivs!G96</f>
        <v>5.65</v>
      </c>
      <c r="AF33" s="120" t="s">
        <v>94</v>
      </c>
      <c r="AG33" s="120" t="str">
        <f>+ebset!G96</f>
        <v>"non disponible en 12"</v>
      </c>
      <c r="AH33" s="120" t="str">
        <f>+ebset!G96</f>
        <v>"non disponible en 12"</v>
      </c>
      <c r="AI33" s="120"/>
      <c r="AJ33" s="120"/>
      <c r="AK33" s="120"/>
      <c r="AL33" s="120"/>
    </row>
    <row r="34" spans="7:38" x14ac:dyDescent="0.2">
      <c r="G34" s="56"/>
      <c r="H34" s="57"/>
      <c r="I34" s="57"/>
      <c r="J34" s="57"/>
      <c r="K34" s="57"/>
      <c r="L34" s="57"/>
      <c r="M34" s="57"/>
      <c r="N34" s="57"/>
      <c r="O34" s="57"/>
      <c r="P34" s="57"/>
      <c r="Q34" s="71" t="str">
        <f>IF(S33&lt;S10,"veuillez modifier le montage","")</f>
        <v/>
      </c>
      <c r="R34" s="57"/>
      <c r="S34" s="58"/>
      <c r="T34" s="57"/>
      <c r="U34" s="59"/>
      <c r="AB34" s="120" t="s">
        <v>71</v>
      </c>
      <c r="AC34" s="120" t="s">
        <v>129</v>
      </c>
      <c r="AD34" s="120">
        <f>+ebsvs!G97</f>
        <v>179</v>
      </c>
      <c r="AE34" s="120">
        <f>+plastivs!G97</f>
        <v>236</v>
      </c>
      <c r="AF34" s="120"/>
      <c r="AG34" s="120">
        <f>+ebset!G97</f>
        <v>0</v>
      </c>
      <c r="AH34" s="120">
        <f>+ebset!G97</f>
        <v>0</v>
      </c>
      <c r="AI34" s="120"/>
      <c r="AJ34" s="120"/>
      <c r="AK34" s="120"/>
      <c r="AL34" s="120"/>
    </row>
    <row r="35" spans="7:38" ht="13.5" thickBot="1" x14ac:dyDescent="0.25">
      <c r="G35" s="56"/>
      <c r="H35" s="57"/>
      <c r="I35" s="57"/>
      <c r="J35" s="57"/>
      <c r="K35" s="57"/>
      <c r="L35" s="57"/>
      <c r="M35" s="57"/>
      <c r="N35" s="57"/>
      <c r="O35" s="57"/>
      <c r="P35" s="80" t="str">
        <f>IF(S33&lt;S10,"  hourdis ou  table de compression","montage choisi")</f>
        <v>montage choisi</v>
      </c>
      <c r="Q35" s="57"/>
      <c r="R35" s="71"/>
      <c r="S35" s="81"/>
      <c r="T35" s="71"/>
      <c r="U35" s="59"/>
      <c r="AB35" s="120" t="s">
        <v>72</v>
      </c>
      <c r="AC35" s="120" t="s">
        <v>129</v>
      </c>
      <c r="AD35" s="120">
        <f>+ebsvs!G98</f>
        <v>61</v>
      </c>
      <c r="AE35" s="120">
        <f>+plastivs!G98</f>
        <v>74</v>
      </c>
      <c r="AF35" s="120"/>
      <c r="AG35" s="120">
        <f>+ebset!G98</f>
        <v>0</v>
      </c>
      <c r="AH35" s="120">
        <f>+ebset!G98</f>
        <v>0</v>
      </c>
      <c r="AI35" s="120"/>
      <c r="AJ35" s="120"/>
      <c r="AK35" s="120"/>
      <c r="AL35" s="120"/>
    </row>
    <row r="36" spans="7:38" ht="19.5" thickTop="1" x14ac:dyDescent="0.3">
      <c r="G36" s="56"/>
      <c r="H36" s="57"/>
      <c r="I36" s="57"/>
      <c r="J36" s="57"/>
      <c r="K36" s="57"/>
      <c r="L36" s="57"/>
      <c r="M36" s="57"/>
      <c r="N36" s="57"/>
      <c r="O36" s="57"/>
      <c r="P36" s="130" t="str">
        <f>IF(AC17=1,+HLOOKUP(AC22,AC26:AH30,5,FALSE),+HLOOKUP(AC22,AC32:AH36,5,FALSE))</f>
        <v>plancher POLYSEAC 12 + 5</v>
      </c>
      <c r="Q36" s="131"/>
      <c r="R36" s="131"/>
      <c r="S36" s="131"/>
      <c r="T36" s="131"/>
      <c r="U36" s="59"/>
      <c r="AB36" s="120" t="s">
        <v>93</v>
      </c>
      <c r="AC36" s="120" t="s">
        <v>103</v>
      </c>
      <c r="AD36" s="120" t="str">
        <f>+"plancher"&amp;" "&amp;"EBS"&amp;" "&amp;Q31&amp;" "&amp;"+"&amp;" "&amp;S31&amp;" jum"</f>
        <v>plancher EBS 12 + 5 jum</v>
      </c>
      <c r="AE36" s="120" t="str">
        <f>IF(Q31&gt;15,"hauteur hourdis non disponible",+"plancher"&amp;" "&amp;"PLASTIVS"&amp;" "&amp;Q31&amp;" "&amp;"+" &amp;" "&amp;S31&amp;" jum")</f>
        <v>plancher PLASTIVS 12 + 5 jum</v>
      </c>
      <c r="AF36" s="120" t="s">
        <v>103</v>
      </c>
      <c r="AG36" s="120" t="str">
        <f>+ebset!G91</f>
        <v>hauteur hourdis 15 mini pour jumelage</v>
      </c>
      <c r="AH36" s="120" t="str">
        <f>+ebset!B90</f>
        <v>hauteur hourdis 15 mini pour jumelage</v>
      </c>
      <c r="AI36" s="120"/>
      <c r="AJ36" s="120"/>
      <c r="AK36" s="120"/>
      <c r="AL36" s="120"/>
    </row>
    <row r="37" spans="7:38" x14ac:dyDescent="0.2">
      <c r="G37" s="56"/>
      <c r="H37" s="57"/>
      <c r="I37" s="57"/>
      <c r="J37" s="57"/>
      <c r="K37" s="57"/>
      <c r="L37" s="57"/>
      <c r="M37" s="57"/>
      <c r="N37" s="57"/>
      <c r="O37" s="57"/>
      <c r="P37" s="82"/>
      <c r="Q37" s="132" t="str">
        <f>IF(AC22=5,"pose avec 1 file d'étai",+IF(S19="avec etai","pose avec 1 file d'étai","pose sans étai"))</f>
        <v>pose avec 1 file d'étai</v>
      </c>
      <c r="R37" s="132"/>
      <c r="S37" s="132"/>
      <c r="T37" s="84"/>
      <c r="U37" s="5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</row>
    <row r="38" spans="7:38" x14ac:dyDescent="0.2">
      <c r="G38" s="56"/>
      <c r="H38" s="57"/>
      <c r="I38" s="57"/>
      <c r="J38" s="57"/>
      <c r="K38" s="57"/>
      <c r="L38" s="57"/>
      <c r="M38" s="57"/>
      <c r="N38" s="57"/>
      <c r="O38" s="57"/>
      <c r="P38" s="82"/>
      <c r="Q38" s="85" t="s">
        <v>92</v>
      </c>
      <c r="R38" s="84"/>
      <c r="S38" s="86">
        <f>IF(AC17=1,+HLOOKUP(AC22,AC26:AH30,3,FALSE),+HLOOKUP(AC22,AC32:AH36,3,FALSE))</f>
        <v>180</v>
      </c>
      <c r="T38" s="84"/>
      <c r="U38" s="59"/>
      <c r="AB38" s="120" t="s">
        <v>126</v>
      </c>
      <c r="AC38" s="120" t="str">
        <f>+IF(S19="avec etai",polyseac!J59,polyseac!T59)</f>
        <v>12+5</v>
      </c>
      <c r="AD38" s="120" t="str">
        <f>+IF($S$19="avec etai",ebsvs!J118,ebsvs!T118)</f>
        <v>12+5</v>
      </c>
      <c r="AE38" s="120" t="str">
        <f>+IF($S$19="avec etai",plastivs!J118,plastivs!T118)</f>
        <v>12+5</v>
      </c>
      <c r="AF38" s="120" t="str">
        <f>+IF($S$19="avec etai",seacisol!J115,seacisol!T115)</f>
        <v>C17+5</v>
      </c>
      <c r="AG38" s="120" t="str">
        <f>+IF($L$22=30,ebset!J118,ebset!T118)</f>
        <v>12+5</v>
      </c>
      <c r="AH38" s="120" t="str">
        <f>+IF($L$22=30,ebset!J125,ebset!T118)</f>
        <v>15+5</v>
      </c>
      <c r="AI38" s="120"/>
      <c r="AJ38" s="120"/>
      <c r="AK38" s="120"/>
      <c r="AL38" s="120"/>
    </row>
    <row r="39" spans="7:38" x14ac:dyDescent="0.2">
      <c r="G39" s="56"/>
      <c r="H39" s="57"/>
      <c r="I39" s="57"/>
      <c r="J39" s="57"/>
      <c r="K39" s="57"/>
      <c r="L39" s="57"/>
      <c r="M39" s="57"/>
      <c r="N39" s="57"/>
      <c r="O39" s="57"/>
      <c r="P39" s="82"/>
      <c r="Q39" s="83" t="s">
        <v>73</v>
      </c>
      <c r="R39" s="84"/>
      <c r="S39" s="87">
        <f>IF(AC17=1,+HLOOKUP(AC22,AC26:AH30,4,FALSE),+HLOOKUP(AC22,AC32:AH36,4,FALSE))</f>
        <v>62</v>
      </c>
      <c r="T39" s="84"/>
      <c r="U39" s="59"/>
      <c r="AB39" s="120" t="s">
        <v>128</v>
      </c>
      <c r="AC39" s="120" t="str">
        <f>IF(AC38="hors limites","hors limite,voir SEACISOL",+"plancher"&amp;" "&amp;"POLYSEAC"&amp;" "&amp;AC38)</f>
        <v>plancher POLYSEAC 12+5</v>
      </c>
      <c r="AD39" s="120" t="str">
        <f>+"plancher"&amp;" "&amp;"EBS"&amp;" "&amp;AD38</f>
        <v>plancher EBS 12+5</v>
      </c>
      <c r="AE39" s="120" t="str">
        <f>+"plancher"&amp;" "&amp;"PLASTIVS"&amp;" "&amp;AE38</f>
        <v>plancher PLASTIVS 12+5</v>
      </c>
      <c r="AF39" s="120" t="str">
        <f>+"plancher"&amp;" "&amp;"SEACISOL"&amp;" "&amp;AF38</f>
        <v>plancher SEACISOL C17+5</v>
      </c>
      <c r="AG39" s="120" t="str">
        <f>+"plancher"&amp;" "&amp;"EBS"&amp;" "&amp;AG38</f>
        <v>plancher EBS 12+5</v>
      </c>
      <c r="AH39" s="120" t="str">
        <f>+"plancher"&amp;" "&amp;"PREDAL-SEACOUSTIC"&amp;" "&amp;AH38</f>
        <v>plancher PREDAL-SEACOUSTIC 15+5</v>
      </c>
      <c r="AI39" s="120"/>
      <c r="AJ39" s="120"/>
      <c r="AK39" s="120"/>
      <c r="AL39" s="120"/>
    </row>
    <row r="40" spans="7:38" x14ac:dyDescent="0.2">
      <c r="G40" s="56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8"/>
      <c r="T40" s="57"/>
      <c r="U40" s="59"/>
      <c r="AB40" s="120"/>
      <c r="AC40" s="120">
        <f>+IF($S$19="avec etai",polyseac!J60,polyseac!T60)</f>
        <v>180</v>
      </c>
      <c r="AD40" s="120">
        <f>+IF($S$19="avec etai",ebsvs!J119,ebsvs!T119)</f>
        <v>188</v>
      </c>
      <c r="AE40" s="120">
        <f>+IF($S$19="avec etai",plastivs!J119,plastivs!T119)</f>
        <v>205</v>
      </c>
      <c r="AF40" s="120">
        <f>+IF($S$19="avec etai",seacisol!J116,seacisol!T116)</f>
        <v>174</v>
      </c>
      <c r="AG40" s="120">
        <f>+IF($L$22=30,ebset!J119,ebset!T119)</f>
        <v>188</v>
      </c>
      <c r="AH40" s="120">
        <f>+IF($L$22=30,ebset!J126,ebset!T119)</f>
        <v>211</v>
      </c>
      <c r="AI40" s="120"/>
      <c r="AJ40" s="120"/>
      <c r="AK40" s="120"/>
      <c r="AL40" s="120"/>
    </row>
    <row r="41" spans="7:38" x14ac:dyDescent="0.2">
      <c r="G41" s="56"/>
      <c r="H41" s="57"/>
      <c r="I41" s="57"/>
      <c r="J41" s="57"/>
      <c r="K41" s="57"/>
      <c r="L41" s="57"/>
      <c r="M41" s="57"/>
      <c r="N41" s="57"/>
      <c r="O41" s="57"/>
      <c r="P41" s="71"/>
      <c r="Q41" s="57"/>
      <c r="R41" s="57"/>
      <c r="S41" s="58"/>
      <c r="T41" s="57"/>
      <c r="U41" s="59"/>
      <c r="AB41" s="124"/>
      <c r="AC41" s="120">
        <f>+IF($S$19="avec etai",polyseac!J61,polyseac!T61)</f>
        <v>62</v>
      </c>
      <c r="AD41" s="120">
        <f>+IF($S$19="avec etai",ebsvs!J120,ebsvs!T120)</f>
        <v>62.5</v>
      </c>
      <c r="AE41" s="120">
        <f>+IF($S$19="avec etai",plastivs!J120,plastivs!T120)</f>
        <v>71.5</v>
      </c>
      <c r="AF41" s="120">
        <f>+IF($S$19="avec etai",seacisol!J117,seacisol!T117)</f>
        <v>50</v>
      </c>
      <c r="AG41" s="120">
        <f>+IF($L$22=30,ebset!J120,ebset!T120)</f>
        <v>62.5</v>
      </c>
      <c r="AH41" s="120">
        <f>+IF($L$22=30,ebset!J127,ebset!T120)</f>
        <v>70</v>
      </c>
      <c r="AI41" s="120"/>
      <c r="AJ41" s="120"/>
      <c r="AK41" s="120"/>
      <c r="AL41" s="120"/>
    </row>
    <row r="42" spans="7:38" x14ac:dyDescent="0.2">
      <c r="G42" s="56"/>
      <c r="H42" s="57"/>
      <c r="I42" s="57"/>
      <c r="J42" s="57"/>
      <c r="K42" s="57"/>
      <c r="L42" s="57"/>
      <c r="M42" s="57"/>
      <c r="N42" s="57"/>
      <c r="O42" s="57"/>
      <c r="P42" s="71"/>
      <c r="Q42" s="57"/>
      <c r="R42" s="57"/>
      <c r="S42" s="58"/>
      <c r="T42" s="57"/>
      <c r="U42" s="59"/>
      <c r="AB42" s="124"/>
      <c r="AC42" s="120"/>
      <c r="AD42" s="120"/>
      <c r="AE42" s="120"/>
      <c r="AF42" s="120">
        <f>+IF($S$19="avec etai",seacisol!J118,seacisol!T118)</f>
        <v>22</v>
      </c>
      <c r="AG42" s="120"/>
      <c r="AH42" s="120"/>
      <c r="AI42" s="120"/>
      <c r="AJ42" s="120"/>
      <c r="AK42" s="120"/>
      <c r="AL42" s="120"/>
    </row>
    <row r="43" spans="7:38" x14ac:dyDescent="0.2">
      <c r="G43" s="56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8"/>
      <c r="T43" s="57"/>
      <c r="U43" s="59"/>
      <c r="AB43" s="124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</row>
    <row r="44" spans="7:38" x14ac:dyDescent="0.2">
      <c r="G44" s="56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8"/>
      <c r="T44" s="57"/>
      <c r="U44" s="59"/>
      <c r="AB44" s="120"/>
      <c r="AC44" s="120"/>
      <c r="AD44" s="120" t="str">
        <f>+IF(S19="avec etai",ebsvs!J106,ebsvs!T106)</f>
        <v>12+5</v>
      </c>
      <c r="AE44" s="120" t="str">
        <f>+IF($S$19="avec etai",plastivs!J106,plastivs!T106)</f>
        <v>12+5</v>
      </c>
      <c r="AF44" s="120"/>
      <c r="AG44" s="120" t="str">
        <f>+IF($L$22=30,ebset!J106,ebset!T106)</f>
        <v>15+5</v>
      </c>
      <c r="AH44" s="120" t="str">
        <f>+IF($L$22=30,ebset!J106,ebset!T106)</f>
        <v>15+5</v>
      </c>
      <c r="AI44" s="120"/>
      <c r="AJ44" s="120"/>
      <c r="AK44" s="120"/>
      <c r="AL44" s="120"/>
    </row>
    <row r="45" spans="7:38" ht="13.5" thickBot="1" x14ac:dyDescent="0.25">
      <c r="G45" s="88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90"/>
      <c r="T45" s="89"/>
      <c r="U45" s="91"/>
      <c r="AB45" s="120" t="s">
        <v>87</v>
      </c>
      <c r="AC45" s="120" t="s">
        <v>103</v>
      </c>
      <c r="AD45" s="120" t="str">
        <f>+"plancher"&amp;" "&amp;"EBS"&amp;" "&amp;AD44&amp;" jum"</f>
        <v>plancher EBS 12+5 jum</v>
      </c>
      <c r="AE45" s="120" t="str">
        <f>+"plancher"&amp;" "&amp;"PLASTIVS"&amp;" "&amp;AE44&amp; " jum"</f>
        <v>plancher PLASTIVS 12+5 jum</v>
      </c>
      <c r="AF45" s="120" t="s">
        <v>103</v>
      </c>
      <c r="AG45" s="120" t="str">
        <f>+"plancher"&amp;" "&amp;"EBS"&amp;" "&amp;AG44&amp;" jum"</f>
        <v>plancher EBS 15+5 jum</v>
      </c>
      <c r="AH45" s="120" t="str">
        <f>+"plancher"&amp;" "&amp;"PREDAL-SEACOUSTIC"&amp;" "&amp;AH44&amp;" jum"</f>
        <v>plancher PREDAL-SEACOUSTIC 15+5 jum</v>
      </c>
      <c r="AI45" s="120"/>
      <c r="AJ45" s="120"/>
      <c r="AK45" s="120"/>
      <c r="AL45" s="120"/>
    </row>
    <row r="46" spans="7:38" ht="13.5" thickTop="1" x14ac:dyDescent="0.2">
      <c r="AB46" s="120"/>
      <c r="AC46" s="120" t="s">
        <v>129</v>
      </c>
      <c r="AD46" s="120">
        <f>+IF(S19="avec etai",ebsvs!J107,ebsvs!T107)</f>
        <v>179</v>
      </c>
      <c r="AE46" s="120">
        <f>+IF($S$19="avec etai",plastivs!J107,plastivs!T107)</f>
        <v>236</v>
      </c>
      <c r="AF46" s="120" t="s">
        <v>129</v>
      </c>
      <c r="AG46" s="120">
        <f>+IF($L$22=30,ebset!J107,ebset!T107)</f>
        <v>253</v>
      </c>
      <c r="AH46" s="120">
        <f>+IF($L$22=30,ebset!J107,ebset!T107)</f>
        <v>253</v>
      </c>
      <c r="AI46" s="120"/>
      <c r="AJ46" s="120"/>
      <c r="AK46" s="120"/>
      <c r="AL46" s="120"/>
    </row>
    <row r="47" spans="7:38" x14ac:dyDescent="0.2">
      <c r="AB47" s="120"/>
      <c r="AC47" s="120" t="s">
        <v>129</v>
      </c>
      <c r="AD47" s="120">
        <f>+IF(S19="avec etai",ebsvs!J108,ebsvs!T108)</f>
        <v>61</v>
      </c>
      <c r="AE47" s="120">
        <f>+IF($S$19="avec etai",plastivs!J108,plastivs!T108)</f>
        <v>74</v>
      </c>
      <c r="AF47" s="120" t="s">
        <v>129</v>
      </c>
      <c r="AG47" s="120">
        <f>+IF($L$22=30,ebset!J108,ebset!T108)</f>
        <v>76</v>
      </c>
      <c r="AH47" s="120">
        <f>+IF($L$22=30,ebset!J108,ebset!T108)</f>
        <v>76</v>
      </c>
      <c r="AI47" s="120"/>
      <c r="AJ47" s="120"/>
      <c r="AK47" s="120"/>
      <c r="AL47" s="120"/>
    </row>
    <row r="48" spans="7:38" x14ac:dyDescent="0.2"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</row>
    <row r="49" spans="28:38" x14ac:dyDescent="0.2">
      <c r="AB49" s="120"/>
      <c r="AC49" s="120"/>
      <c r="AD49" s="120"/>
      <c r="AE49" s="120"/>
      <c r="AF49" s="120"/>
      <c r="AG49" s="120"/>
      <c r="AH49" s="120"/>
      <c r="AI49" s="120"/>
      <c r="AJ49" s="120"/>
      <c r="AK49" s="120"/>
      <c r="AL49" s="120"/>
    </row>
  </sheetData>
  <sheetProtection algorithmName="SHA-512" hashValue="QD8t/z6ZrHWEmUoH6uQCVIESPciPMRFLYO51S244frjlss+iwFcXG7zj6USkQxKA7fEdA6t1uT29vfOZcj/1aA==" saltValue="uXS+jPmSYMQyUhje86xFxg==" spinCount="100000" sheet="1" objects="1" selectLockedCells="1"/>
  <mergeCells count="8">
    <mergeCell ref="P24:T24"/>
    <mergeCell ref="Q25:S25"/>
    <mergeCell ref="P36:T36"/>
    <mergeCell ref="Q37:S37"/>
    <mergeCell ref="Q23:S23"/>
    <mergeCell ref="P29:T29"/>
    <mergeCell ref="Q27:R27"/>
    <mergeCell ref="P26:R26"/>
  </mergeCells>
  <conditionalFormatting sqref="L20:L22">
    <cfRule type="expression" dxfId="10" priority="7">
      <formula>$AC$22&lt;5</formula>
    </cfRule>
  </conditionalFormatting>
  <conditionalFormatting sqref="L22">
    <cfRule type="cellIs" dxfId="9" priority="13" operator="equal">
      <formula>30</formula>
    </cfRule>
  </conditionalFormatting>
  <conditionalFormatting sqref="M26:M29">
    <cfRule type="expression" dxfId="8" priority="3">
      <formula>$AC$22=5</formula>
    </cfRule>
  </conditionalFormatting>
  <conditionalFormatting sqref="P35 Q34">
    <cfRule type="expression" dxfId="7" priority="21">
      <formula>$S$33&lt;$S$10</formula>
    </cfRule>
  </conditionalFormatting>
  <conditionalFormatting sqref="P28:T28">
    <cfRule type="expression" dxfId="6" priority="2">
      <formula>$AC$22=4</formula>
    </cfRule>
  </conditionalFormatting>
  <conditionalFormatting sqref="P30:T39">
    <cfRule type="expression" dxfId="5" priority="4">
      <formula>$AC$20=FALSE</formula>
    </cfRule>
  </conditionalFormatting>
  <conditionalFormatting sqref="P35:T39">
    <cfRule type="expression" dxfId="4" priority="15">
      <formula>$S$33&lt;$S$10</formula>
    </cfRule>
  </conditionalFormatting>
  <conditionalFormatting sqref="P36:T39">
    <cfRule type="expression" dxfId="3" priority="1">
      <formula>$AK$20=0</formula>
    </cfRule>
  </conditionalFormatting>
  <conditionalFormatting sqref="Q19:S19">
    <cfRule type="expression" dxfId="2" priority="14">
      <formula>+$AC$22=5</formula>
    </cfRule>
  </conditionalFormatting>
  <conditionalFormatting sqref="S12">
    <cfRule type="expression" dxfId="1" priority="12">
      <formula>$S$12&gt;500</formula>
    </cfRule>
  </conditionalFormatting>
  <conditionalFormatting sqref="S33">
    <cfRule type="expression" dxfId="0" priority="9">
      <formula>$S$33&lt;$S$10</formula>
    </cfRule>
  </conditionalFormatting>
  <dataValidations count="5">
    <dataValidation type="list" allowBlank="1" showInputMessage="1" showErrorMessage="1" sqref="Q31" xr:uid="{A21837D2-BFE5-4B19-AF9B-C2117D9EC709}">
      <formula1>$AF$15:$AF$17</formula1>
    </dataValidation>
    <dataValidation type="list" allowBlank="1" showInputMessage="1" showErrorMessage="1" sqref="S31" xr:uid="{E4A44618-5D6B-47E9-903E-91D40EECABE9}">
      <formula1>$AH$15:$AH$18</formula1>
    </dataValidation>
    <dataValidation type="list" allowBlank="1" showInputMessage="1" showErrorMessage="1" sqref="S14" xr:uid="{32CD7148-F53B-40DC-A096-CECA90D75A4A}">
      <formula1>$AH$22:$AH$24</formula1>
    </dataValidation>
    <dataValidation type="list" allowBlank="1" showInputMessage="1" showErrorMessage="1" sqref="L22" xr:uid="{AC8CF5B9-9B65-42B5-B074-10DEF363A7C4}">
      <formula1>$AE$14:$AE$15</formula1>
    </dataValidation>
    <dataValidation type="list" allowBlank="1" showInputMessage="1" showErrorMessage="1" sqref="S19" xr:uid="{210853C2-A4BC-42F6-AEE1-4885E05B06F7}">
      <formula1>$AC$9:$AC$10</formula1>
    </dataValidation>
  </dataValidations>
  <pageMargins left="0.7" right="0.7" top="0.75" bottom="0.75" header="0.3" footer="0.3"/>
  <pageSetup paperSize="9" scale="77" orientation="landscape" r:id="rId1"/>
  <ignoredErrors>
    <ignoredError sqref="S33 Q34 P35 S28 S38:S39" evalError="1"/>
  </ignoredErrors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84" r:id="rId5" name="Group Box 136">
              <controlPr defaultSize="0" autoFill="0" autoPict="0">
                <anchor moveWithCells="1" sizeWithCells="1">
                  <from>
                    <xdr:col>9</xdr:col>
                    <xdr:colOff>638175</xdr:colOff>
                    <xdr:row>21</xdr:row>
                    <xdr:rowOff>0</xdr:rowOff>
                  </from>
                  <to>
                    <xdr:col>14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6" name="Group Box 29">
              <controlPr defaultSize="0" autoFill="0" autoPict="0">
                <anchor moveWithCells="1" sizeWithCells="1">
                  <from>
                    <xdr:col>7</xdr:col>
                    <xdr:colOff>638175</xdr:colOff>
                    <xdr:row>21</xdr:row>
                    <xdr:rowOff>0</xdr:rowOff>
                  </from>
                  <to>
                    <xdr:col>12</xdr:col>
                    <xdr:colOff>95250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7" name="Group Box 59">
              <controlPr defaultSize="0" autoFill="0" autoPict="0">
                <anchor moveWithCells="1" sizeWithCells="1">
                  <from>
                    <xdr:col>17</xdr:col>
                    <xdr:colOff>66675</xdr:colOff>
                    <xdr:row>15</xdr:row>
                    <xdr:rowOff>133350</xdr:rowOff>
                  </from>
                  <to>
                    <xdr:col>19</xdr:col>
                    <xdr:colOff>28575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8" name="Option Button 227">
              <controlPr defaultSize="0" autoFill="0" autoLine="0" autoPict="0">
                <anchor moveWithCells="1" sizeWithCells="1">
                  <from>
                    <xdr:col>7</xdr:col>
                    <xdr:colOff>304800</xdr:colOff>
                    <xdr:row>13</xdr:row>
                    <xdr:rowOff>161925</xdr:rowOff>
                  </from>
                  <to>
                    <xdr:col>7</xdr:col>
                    <xdr:colOff>609600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9" name="Option Button 228">
              <controlPr defaultSize="0" autoFill="0" autoLine="0" autoPict="0">
                <anchor moveWithCells="1" sizeWithCells="1">
                  <from>
                    <xdr:col>8</xdr:col>
                    <xdr:colOff>257175</xdr:colOff>
                    <xdr:row>13</xdr:row>
                    <xdr:rowOff>152400</xdr:rowOff>
                  </from>
                  <to>
                    <xdr:col>8</xdr:col>
                    <xdr:colOff>561975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0" name="Option Button 229">
              <controlPr defaultSize="0" autoFill="0" autoLine="0" autoPict="0">
                <anchor moveWithCells="1" sizeWithCells="1">
                  <from>
                    <xdr:col>9</xdr:col>
                    <xdr:colOff>371475</xdr:colOff>
                    <xdr:row>13</xdr:row>
                    <xdr:rowOff>152400</xdr:rowOff>
                  </from>
                  <to>
                    <xdr:col>9</xdr:col>
                    <xdr:colOff>676275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1" name="Option Button 230">
              <controlPr defaultSize="0" autoFill="0" autoLine="0" autoPict="0">
                <anchor moveWithCells="1" sizeWithCells="1">
                  <from>
                    <xdr:col>11</xdr:col>
                    <xdr:colOff>152400</xdr:colOff>
                    <xdr:row>13</xdr:row>
                    <xdr:rowOff>152400</xdr:rowOff>
                  </from>
                  <to>
                    <xdr:col>11</xdr:col>
                    <xdr:colOff>447675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" name="Group Box 231">
              <controlPr defaultSize="0" autoFill="0" autoPict="0">
                <anchor moveWithCells="1" sizeWithCells="1">
                  <from>
                    <xdr:col>6</xdr:col>
                    <xdr:colOff>685800</xdr:colOff>
                    <xdr:row>7</xdr:row>
                    <xdr:rowOff>142875</xdr:rowOff>
                  </from>
                  <to>
                    <xdr:col>12</xdr:col>
                    <xdr:colOff>142875</xdr:colOff>
                    <xdr:row>24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" name="Option Button 348">
              <controlPr defaultSize="0" autoFill="0" autoLine="0" autoPict="0">
                <anchor moveWithCells="1" sizeWithCells="1">
                  <from>
                    <xdr:col>17</xdr:col>
                    <xdr:colOff>209550</xdr:colOff>
                    <xdr:row>16</xdr:row>
                    <xdr:rowOff>28575</xdr:rowOff>
                  </from>
                  <to>
                    <xdr:col>18</xdr:col>
                    <xdr:colOff>238125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4" name="Option Button 350">
              <controlPr defaultSize="0" autoFill="0" autoLine="0" autoPict="0">
                <anchor moveWithCells="1" sizeWithCells="1">
                  <from>
                    <xdr:col>18</xdr:col>
                    <xdr:colOff>676275</xdr:colOff>
                    <xdr:row>16</xdr:row>
                    <xdr:rowOff>19050</xdr:rowOff>
                  </from>
                  <to>
                    <xdr:col>18</xdr:col>
                    <xdr:colOff>933450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5" name="Option Button 357">
              <controlPr defaultSize="0" autoFill="0" autoLine="0" autoPict="0">
                <anchor moveWithCells="1" sizeWithCells="1">
                  <from>
                    <xdr:col>8</xdr:col>
                    <xdr:colOff>304800</xdr:colOff>
                    <xdr:row>21</xdr:row>
                    <xdr:rowOff>180975</xdr:rowOff>
                  </from>
                  <to>
                    <xdr:col>8</xdr:col>
                    <xdr:colOff>600075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6" name="Option Button 358">
              <controlPr defaultSize="0" autoFill="0" autoLine="0" autoPict="0">
                <anchor moveWithCells="1" sizeWithCells="1">
                  <from>
                    <xdr:col>9</xdr:col>
                    <xdr:colOff>533400</xdr:colOff>
                    <xdr:row>21</xdr:row>
                    <xdr:rowOff>200025</xdr:rowOff>
                  </from>
                  <to>
                    <xdr:col>9</xdr:col>
                    <xdr:colOff>828675</xdr:colOff>
                    <xdr:row>23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7" name="Option Button 527">
              <controlPr defaultSize="0" autoFill="0" autoLine="0" autoPict="0" altText="NON">
                <anchor moveWithCells="1">
                  <from>
                    <xdr:col>18</xdr:col>
                    <xdr:colOff>19050</xdr:colOff>
                    <xdr:row>20</xdr:row>
                    <xdr:rowOff>28575</xdr:rowOff>
                  </from>
                  <to>
                    <xdr:col>18</xdr:col>
                    <xdr:colOff>409575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8" name="Option Button 534">
              <controlPr defaultSize="0" autoFill="0" autoLine="0" autoPict="0" altText="NON">
                <anchor moveWithCells="1">
                  <from>
                    <xdr:col>18</xdr:col>
                    <xdr:colOff>714375</xdr:colOff>
                    <xdr:row>20</xdr:row>
                    <xdr:rowOff>19050</xdr:rowOff>
                  </from>
                  <to>
                    <xdr:col>19</xdr:col>
                    <xdr:colOff>95250</xdr:colOff>
                    <xdr:row>21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9" name="Check Box 810">
              <controlPr defaultSize="0" autoFill="0" autoLine="0" autoPict="0">
                <anchor moveWithCells="1">
                  <from>
                    <xdr:col>19</xdr:col>
                    <xdr:colOff>419100</xdr:colOff>
                    <xdr:row>28</xdr:row>
                    <xdr:rowOff>47625</xdr:rowOff>
                  </from>
                  <to>
                    <xdr:col>19</xdr:col>
                    <xdr:colOff>657225</xdr:colOff>
                    <xdr:row>29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F910B-E3C6-4B2E-9A98-B89B5DAFF7E6}">
  <sheetPr codeName="Feuil2">
    <pageSetUpPr fitToPage="1"/>
  </sheetPr>
  <dimension ref="A1:AM46"/>
  <sheetViews>
    <sheetView showGridLines="0" showZeros="0" zoomScale="85" zoomScaleNormal="80" workbookViewId="0">
      <selection activeCell="A7" sqref="A7:AM41"/>
    </sheetView>
  </sheetViews>
  <sheetFormatPr baseColWidth="10" defaultColWidth="11.5703125" defaultRowHeight="14.25" x14ac:dyDescent="0.2"/>
  <cols>
    <col min="1" max="1" width="16.85546875" style="1" customWidth="1"/>
    <col min="2" max="3" width="6.7109375" style="1" customWidth="1"/>
    <col min="4" max="4" width="5.85546875" style="7" customWidth="1"/>
    <col min="5" max="5" width="2.7109375" style="8" customWidth="1"/>
    <col min="6" max="6" width="3.7109375" style="8" customWidth="1"/>
    <col min="7" max="7" width="6.7109375" style="1" customWidth="1"/>
    <col min="8" max="8" width="2.7109375" style="9" customWidth="1"/>
    <col min="9" max="9" width="3.7109375" style="8" customWidth="1"/>
    <col min="10" max="10" width="6.7109375" style="7" customWidth="1"/>
    <col min="11" max="11" width="2.7109375" style="8" customWidth="1"/>
    <col min="12" max="12" width="3.7109375" style="8" customWidth="1"/>
    <col min="13" max="13" width="6.7109375" style="1" customWidth="1"/>
    <col min="14" max="14" width="2.7109375" style="8" customWidth="1"/>
    <col min="15" max="15" width="3.7109375" style="8" customWidth="1"/>
    <col min="16" max="16" width="6.7109375" style="7" customWidth="1"/>
    <col min="17" max="17" width="2.7109375" style="8" customWidth="1"/>
    <col min="18" max="18" width="3.7109375" style="8" customWidth="1"/>
    <col min="19" max="19" width="6.7109375" style="1" customWidth="1"/>
    <col min="20" max="20" width="2.7109375" style="8" customWidth="1"/>
    <col min="21" max="21" width="3.7109375" style="8" customWidth="1"/>
    <col min="22" max="22" width="6.7109375" style="7" customWidth="1"/>
    <col min="23" max="23" width="2.7109375" style="8" customWidth="1"/>
    <col min="24" max="24" width="3.7109375" style="8" customWidth="1"/>
    <col min="25" max="25" width="6.7109375" style="1" customWidth="1"/>
    <col min="26" max="26" width="2.7109375" style="8" customWidth="1"/>
    <col min="27" max="27" width="3.7109375" style="8" customWidth="1"/>
    <col min="28" max="28" width="5.85546875" style="7" customWidth="1"/>
    <col min="29" max="29" width="2.7109375" style="8" customWidth="1"/>
    <col min="30" max="30" width="3.7109375" style="8" customWidth="1"/>
    <col min="31" max="31" width="6.7109375" style="1" customWidth="1"/>
    <col min="32" max="32" width="2.7109375" style="9" customWidth="1"/>
    <col min="33" max="33" width="3.7109375" style="8" customWidth="1"/>
    <col min="34" max="34" width="6.7109375" style="1" customWidth="1"/>
    <col min="35" max="35" width="2.7109375" style="8" customWidth="1"/>
    <col min="36" max="36" width="3.7109375" style="8" customWidth="1"/>
    <col min="37" max="37" width="6.7109375" style="1" customWidth="1"/>
    <col min="38" max="38" width="2.7109375" style="8" customWidth="1"/>
    <col min="39" max="39" width="3.7109375" style="8" customWidth="1"/>
    <col min="40" max="16384" width="11.5703125" style="1"/>
  </cols>
  <sheetData>
    <row r="1" spans="1:39" ht="23.25" x14ac:dyDescent="0.2">
      <c r="A1" s="48" t="s">
        <v>16</v>
      </c>
    </row>
    <row r="2" spans="1:39" x14ac:dyDescent="0.2">
      <c r="B2" s="2"/>
      <c r="P2" s="10"/>
      <c r="V2" s="10"/>
    </row>
    <row r="3" spans="1:39" ht="18" customHeight="1" x14ac:dyDescent="0.2">
      <c r="A3" s="158" t="s">
        <v>0</v>
      </c>
      <c r="B3" s="161" t="s">
        <v>1</v>
      </c>
      <c r="C3" s="162"/>
      <c r="D3" s="152" t="s">
        <v>10</v>
      </c>
      <c r="E3" s="153"/>
      <c r="F3" s="153"/>
      <c r="G3" s="153"/>
      <c r="H3" s="153"/>
      <c r="I3" s="154"/>
      <c r="J3" s="152" t="s">
        <v>11</v>
      </c>
      <c r="K3" s="153"/>
      <c r="L3" s="153"/>
      <c r="M3" s="153"/>
      <c r="N3" s="153"/>
      <c r="O3" s="154"/>
      <c r="P3" s="152" t="s">
        <v>12</v>
      </c>
      <c r="Q3" s="153"/>
      <c r="R3" s="153"/>
      <c r="S3" s="153"/>
      <c r="T3" s="153"/>
      <c r="U3" s="154"/>
      <c r="V3" s="152" t="s">
        <v>13</v>
      </c>
      <c r="W3" s="153"/>
      <c r="X3" s="153"/>
      <c r="Y3" s="153"/>
      <c r="Z3" s="153"/>
      <c r="AA3" s="154"/>
      <c r="AB3" s="152" t="s">
        <v>14</v>
      </c>
      <c r="AC3" s="153"/>
      <c r="AD3" s="153"/>
      <c r="AE3" s="153"/>
      <c r="AF3" s="153"/>
      <c r="AG3" s="154"/>
      <c r="AH3" s="152" t="s">
        <v>15</v>
      </c>
      <c r="AI3" s="153"/>
      <c r="AJ3" s="153"/>
      <c r="AK3" s="153"/>
      <c r="AL3" s="153"/>
      <c r="AM3" s="154"/>
    </row>
    <row r="4" spans="1:39" ht="18" customHeight="1" x14ac:dyDescent="0.2">
      <c r="A4" s="159"/>
      <c r="B4" s="3"/>
      <c r="C4" s="4" t="s">
        <v>2</v>
      </c>
      <c r="D4" s="155"/>
      <c r="E4" s="156"/>
      <c r="F4" s="156"/>
      <c r="G4" s="156"/>
      <c r="H4" s="156"/>
      <c r="I4" s="157"/>
      <c r="J4" s="155"/>
      <c r="K4" s="156"/>
      <c r="L4" s="156"/>
      <c r="M4" s="156"/>
      <c r="N4" s="156"/>
      <c r="O4" s="157"/>
      <c r="P4" s="155"/>
      <c r="Q4" s="156"/>
      <c r="R4" s="156"/>
      <c r="S4" s="156"/>
      <c r="T4" s="156"/>
      <c r="U4" s="157"/>
      <c r="V4" s="155"/>
      <c r="W4" s="156"/>
      <c r="X4" s="156"/>
      <c r="Y4" s="156"/>
      <c r="Z4" s="156"/>
      <c r="AA4" s="157"/>
      <c r="AB4" s="155"/>
      <c r="AC4" s="156"/>
      <c r="AD4" s="156"/>
      <c r="AE4" s="156"/>
      <c r="AF4" s="156"/>
      <c r="AG4" s="157"/>
      <c r="AH4" s="155"/>
      <c r="AI4" s="156"/>
      <c r="AJ4" s="156"/>
      <c r="AK4" s="156"/>
      <c r="AL4" s="156"/>
      <c r="AM4" s="157"/>
    </row>
    <row r="5" spans="1:39" ht="18" customHeight="1" x14ac:dyDescent="0.2">
      <c r="A5" s="160"/>
      <c r="B5" s="5" t="s">
        <v>5</v>
      </c>
      <c r="C5" s="6" t="s">
        <v>6</v>
      </c>
      <c r="D5" s="148" t="s">
        <v>3</v>
      </c>
      <c r="E5" s="149"/>
      <c r="F5" s="150"/>
      <c r="G5" s="149" t="s">
        <v>4</v>
      </c>
      <c r="H5" s="149"/>
      <c r="I5" s="151"/>
      <c r="J5" s="148" t="s">
        <v>3</v>
      </c>
      <c r="K5" s="149"/>
      <c r="L5" s="150"/>
      <c r="M5" s="149" t="s">
        <v>4</v>
      </c>
      <c r="N5" s="149"/>
      <c r="O5" s="151"/>
      <c r="P5" s="148" t="s">
        <v>3</v>
      </c>
      <c r="Q5" s="149"/>
      <c r="R5" s="150"/>
      <c r="S5" s="149" t="s">
        <v>4</v>
      </c>
      <c r="T5" s="149"/>
      <c r="U5" s="151"/>
      <c r="V5" s="148" t="s">
        <v>3</v>
      </c>
      <c r="W5" s="149"/>
      <c r="X5" s="150"/>
      <c r="Y5" s="149" t="s">
        <v>4</v>
      </c>
      <c r="Z5" s="149"/>
      <c r="AA5" s="151"/>
      <c r="AB5" s="148" t="s">
        <v>3</v>
      </c>
      <c r="AC5" s="149"/>
      <c r="AD5" s="150"/>
      <c r="AE5" s="149" t="s">
        <v>4</v>
      </c>
      <c r="AF5" s="149"/>
      <c r="AG5" s="151"/>
      <c r="AH5" s="148" t="s">
        <v>3</v>
      </c>
      <c r="AI5" s="149"/>
      <c r="AJ5" s="150"/>
      <c r="AK5" s="149" t="s">
        <v>4</v>
      </c>
      <c r="AL5" s="149"/>
      <c r="AM5" s="151"/>
    </row>
    <row r="6" spans="1:39" ht="1.9" customHeight="1" x14ac:dyDescent="0.2">
      <c r="G6" s="7"/>
      <c r="M6" s="7"/>
      <c r="S6" s="7"/>
      <c r="Y6" s="7"/>
      <c r="AE6" s="7"/>
      <c r="AK6" s="7"/>
    </row>
    <row r="7" spans="1:39" ht="19.899999999999999" customHeight="1" x14ac:dyDescent="0.2">
      <c r="A7" s="38" t="s">
        <v>104</v>
      </c>
      <c r="B7" s="15">
        <v>70</v>
      </c>
      <c r="C7" s="16">
        <v>150</v>
      </c>
      <c r="D7" s="17">
        <v>7.18</v>
      </c>
      <c r="E7" s="18" t="s">
        <v>105</v>
      </c>
      <c r="F7" s="19" t="s">
        <v>106</v>
      </c>
      <c r="G7" s="20">
        <v>7.56</v>
      </c>
      <c r="H7" s="18" t="s">
        <v>105</v>
      </c>
      <c r="I7" s="21" t="s">
        <v>106</v>
      </c>
      <c r="J7" s="17">
        <v>7.61</v>
      </c>
      <c r="K7" s="18" t="s">
        <v>105</v>
      </c>
      <c r="L7" s="19" t="s">
        <v>106</v>
      </c>
      <c r="M7" s="20">
        <v>8.02</v>
      </c>
      <c r="N7" s="18" t="s">
        <v>105</v>
      </c>
      <c r="O7" s="21" t="s">
        <v>106</v>
      </c>
      <c r="P7" s="17">
        <v>7.75</v>
      </c>
      <c r="Q7" s="18" t="s">
        <v>105</v>
      </c>
      <c r="R7" s="19" t="s">
        <v>106</v>
      </c>
      <c r="S7" s="20">
        <v>7.99</v>
      </c>
      <c r="T7" s="18" t="s">
        <v>105</v>
      </c>
      <c r="U7" s="21" t="s">
        <v>107</v>
      </c>
      <c r="V7" s="17" t="e">
        <v>#REF!</v>
      </c>
      <c r="W7" s="18" t="e">
        <v>#REF!</v>
      </c>
      <c r="X7" s="19" t="e">
        <v>#REF!</v>
      </c>
      <c r="Y7" s="20" t="e">
        <v>#REF!</v>
      </c>
      <c r="Z7" s="18" t="e">
        <v>#REF!</v>
      </c>
      <c r="AA7" s="21" t="e">
        <v>#REF!</v>
      </c>
      <c r="AB7" s="17" t="e">
        <v>#REF!</v>
      </c>
      <c r="AC7" s="18" t="e">
        <v>#REF!</v>
      </c>
      <c r="AD7" s="19" t="e">
        <v>#REF!</v>
      </c>
      <c r="AE7" s="20" t="e">
        <v>#REF!</v>
      </c>
      <c r="AF7" s="18" t="e">
        <v>#REF!</v>
      </c>
      <c r="AG7" s="21" t="e">
        <v>#REF!</v>
      </c>
      <c r="AH7" s="17" t="e">
        <v>#REF!</v>
      </c>
      <c r="AI7" s="18" t="e">
        <v>#REF!</v>
      </c>
      <c r="AJ7" s="19" t="e">
        <v>#REF!</v>
      </c>
      <c r="AK7" s="20" t="e">
        <v>#REF!</v>
      </c>
      <c r="AL7" s="18" t="e">
        <v>#REF!</v>
      </c>
      <c r="AM7" s="21" t="e">
        <v>#REF!</v>
      </c>
    </row>
    <row r="8" spans="1:39" ht="19.899999999999999" customHeight="1" x14ac:dyDescent="0.2">
      <c r="A8" s="39" t="s">
        <v>104</v>
      </c>
      <c r="B8" s="22">
        <v>190</v>
      </c>
      <c r="C8" s="23">
        <v>150</v>
      </c>
      <c r="D8" s="24">
        <v>6.62</v>
      </c>
      <c r="E8" s="25" t="s">
        <v>105</v>
      </c>
      <c r="F8" s="26" t="s">
        <v>106</v>
      </c>
      <c r="G8" s="27">
        <v>6.97</v>
      </c>
      <c r="H8" s="25" t="s">
        <v>105</v>
      </c>
      <c r="I8" s="28" t="s">
        <v>106</v>
      </c>
      <c r="J8" s="24">
        <v>7.01</v>
      </c>
      <c r="K8" s="25" t="s">
        <v>105</v>
      </c>
      <c r="L8" s="26" t="s">
        <v>106</v>
      </c>
      <c r="M8" s="27">
        <v>7.39</v>
      </c>
      <c r="N8" s="25" t="s">
        <v>105</v>
      </c>
      <c r="O8" s="28" t="s">
        <v>106</v>
      </c>
      <c r="P8" s="24">
        <v>7.14</v>
      </c>
      <c r="Q8" s="25" t="s">
        <v>105</v>
      </c>
      <c r="R8" s="26" t="s">
        <v>106</v>
      </c>
      <c r="S8" s="27">
        <v>7.53</v>
      </c>
      <c r="T8" s="25" t="s">
        <v>105</v>
      </c>
      <c r="U8" s="28" t="s">
        <v>106</v>
      </c>
      <c r="V8" s="24" t="e">
        <v>#REF!</v>
      </c>
      <c r="W8" s="25" t="e">
        <v>#REF!</v>
      </c>
      <c r="X8" s="26" t="e">
        <v>#REF!</v>
      </c>
      <c r="Y8" s="27" t="e">
        <v>#REF!</v>
      </c>
      <c r="Z8" s="25" t="e">
        <v>#REF!</v>
      </c>
      <c r="AA8" s="28" t="e">
        <v>#REF!</v>
      </c>
      <c r="AB8" s="24" t="e">
        <v>#REF!</v>
      </c>
      <c r="AC8" s="25" t="e">
        <v>#REF!</v>
      </c>
      <c r="AD8" s="26" t="e">
        <v>#REF!</v>
      </c>
      <c r="AE8" s="27" t="e">
        <v>#REF!</v>
      </c>
      <c r="AF8" s="25" t="e">
        <v>#REF!</v>
      </c>
      <c r="AG8" s="28" t="e">
        <v>#REF!</v>
      </c>
      <c r="AH8" s="24" t="e">
        <v>#REF!</v>
      </c>
      <c r="AI8" s="25" t="e">
        <v>#REF!</v>
      </c>
      <c r="AJ8" s="26" t="e">
        <v>#REF!</v>
      </c>
      <c r="AK8" s="27" t="e">
        <v>#REF!</v>
      </c>
      <c r="AL8" s="25" t="e">
        <v>#REF!</v>
      </c>
      <c r="AM8" s="28" t="e">
        <v>#REF!</v>
      </c>
    </row>
    <row r="9" spans="1:39" ht="19.899999999999999" customHeight="1" x14ac:dyDescent="0.2">
      <c r="A9" s="39" t="s">
        <v>104</v>
      </c>
      <c r="B9" s="29">
        <v>240</v>
      </c>
      <c r="C9" s="30">
        <v>150</v>
      </c>
      <c r="D9" s="31">
        <v>6.4</v>
      </c>
      <c r="E9" s="32" t="s">
        <v>105</v>
      </c>
      <c r="F9" s="33" t="s">
        <v>106</v>
      </c>
      <c r="G9" s="34">
        <v>6.74</v>
      </c>
      <c r="H9" s="32" t="s">
        <v>105</v>
      </c>
      <c r="I9" s="35" t="s">
        <v>106</v>
      </c>
      <c r="J9" s="31">
        <v>6.8</v>
      </c>
      <c r="K9" s="32" t="s">
        <v>105</v>
      </c>
      <c r="L9" s="33" t="s">
        <v>106</v>
      </c>
      <c r="M9" s="34">
        <v>7.17</v>
      </c>
      <c r="N9" s="32" t="s">
        <v>105</v>
      </c>
      <c r="O9" s="35" t="s">
        <v>106</v>
      </c>
      <c r="P9" s="31">
        <v>6.93</v>
      </c>
      <c r="Q9" s="32" t="s">
        <v>105</v>
      </c>
      <c r="R9" s="33" t="s">
        <v>106</v>
      </c>
      <c r="S9" s="34">
        <v>7.31</v>
      </c>
      <c r="T9" s="32" t="s">
        <v>105</v>
      </c>
      <c r="U9" s="35" t="s">
        <v>106</v>
      </c>
      <c r="V9" s="31" t="e">
        <v>#REF!</v>
      </c>
      <c r="W9" s="32" t="e">
        <v>#REF!</v>
      </c>
      <c r="X9" s="33" t="e">
        <v>#REF!</v>
      </c>
      <c r="Y9" s="34" t="e">
        <v>#REF!</v>
      </c>
      <c r="Z9" s="32" t="e">
        <v>#REF!</v>
      </c>
      <c r="AA9" s="35" t="e">
        <v>#REF!</v>
      </c>
      <c r="AB9" s="31" t="e">
        <v>#REF!</v>
      </c>
      <c r="AC9" s="32" t="e">
        <v>#REF!</v>
      </c>
      <c r="AD9" s="33" t="e">
        <v>#REF!</v>
      </c>
      <c r="AE9" s="34" t="e">
        <v>#REF!</v>
      </c>
      <c r="AF9" s="32" t="e">
        <v>#REF!</v>
      </c>
      <c r="AG9" s="35" t="e">
        <v>#REF!</v>
      </c>
      <c r="AH9" s="31" t="e">
        <v>#REF!</v>
      </c>
      <c r="AI9" s="32" t="e">
        <v>#REF!</v>
      </c>
      <c r="AJ9" s="33" t="e">
        <v>#REF!</v>
      </c>
      <c r="AK9" s="34" t="e">
        <v>#REF!</v>
      </c>
      <c r="AL9" s="32" t="e">
        <v>#REF!</v>
      </c>
      <c r="AM9" s="35" t="e">
        <v>#REF!</v>
      </c>
    </row>
    <row r="10" spans="1:39" ht="19.899999999999999" customHeight="1" x14ac:dyDescent="0.2">
      <c r="A10" s="39" t="s">
        <v>104</v>
      </c>
      <c r="B10" s="22">
        <v>270</v>
      </c>
      <c r="C10" s="23">
        <v>150</v>
      </c>
      <c r="D10" s="24">
        <v>6.27</v>
      </c>
      <c r="E10" s="25" t="s">
        <v>105</v>
      </c>
      <c r="F10" s="26" t="s">
        <v>106</v>
      </c>
      <c r="G10" s="27">
        <v>6.61</v>
      </c>
      <c r="H10" s="25" t="s">
        <v>105</v>
      </c>
      <c r="I10" s="28" t="s">
        <v>106</v>
      </c>
      <c r="J10" s="24">
        <v>6.69</v>
      </c>
      <c r="K10" s="25" t="s">
        <v>105</v>
      </c>
      <c r="L10" s="26" t="s">
        <v>106</v>
      </c>
      <c r="M10" s="27">
        <v>7.05</v>
      </c>
      <c r="N10" s="25" t="s">
        <v>105</v>
      </c>
      <c r="O10" s="28" t="s">
        <v>106</v>
      </c>
      <c r="P10" s="24">
        <v>6.81</v>
      </c>
      <c r="Q10" s="25" t="s">
        <v>105</v>
      </c>
      <c r="R10" s="26" t="s">
        <v>106</v>
      </c>
      <c r="S10" s="27">
        <v>7.18</v>
      </c>
      <c r="T10" s="25" t="s">
        <v>105</v>
      </c>
      <c r="U10" s="28" t="s">
        <v>106</v>
      </c>
      <c r="V10" s="24" t="e">
        <v>#REF!</v>
      </c>
      <c r="W10" s="25" t="e">
        <v>#REF!</v>
      </c>
      <c r="X10" s="26" t="e">
        <v>#REF!</v>
      </c>
      <c r="Y10" s="27" t="e">
        <v>#REF!</v>
      </c>
      <c r="Z10" s="25" t="e">
        <v>#REF!</v>
      </c>
      <c r="AA10" s="28" t="e">
        <v>#REF!</v>
      </c>
      <c r="AB10" s="24" t="e">
        <v>#REF!</v>
      </c>
      <c r="AC10" s="25" t="e">
        <v>#REF!</v>
      </c>
      <c r="AD10" s="26" t="e">
        <v>#REF!</v>
      </c>
      <c r="AE10" s="27" t="e">
        <v>#REF!</v>
      </c>
      <c r="AF10" s="25" t="e">
        <v>#REF!</v>
      </c>
      <c r="AG10" s="28" t="e">
        <v>#REF!</v>
      </c>
      <c r="AH10" s="24" t="e">
        <v>#REF!</v>
      </c>
      <c r="AI10" s="25" t="e">
        <v>#REF!</v>
      </c>
      <c r="AJ10" s="26" t="e">
        <v>#REF!</v>
      </c>
      <c r="AK10" s="27" t="e">
        <v>#REF!</v>
      </c>
      <c r="AL10" s="25" t="e">
        <v>#REF!</v>
      </c>
      <c r="AM10" s="28" t="e">
        <v>#REF!</v>
      </c>
    </row>
    <row r="11" spans="1:39" ht="19.899999999999999" customHeight="1" x14ac:dyDescent="0.2">
      <c r="A11" s="39" t="s">
        <v>104</v>
      </c>
      <c r="B11" s="29">
        <v>70</v>
      </c>
      <c r="C11" s="30">
        <v>250</v>
      </c>
      <c r="D11" s="31">
        <v>6.7</v>
      </c>
      <c r="E11" s="32" t="s">
        <v>105</v>
      </c>
      <c r="F11" s="33" t="s">
        <v>106</v>
      </c>
      <c r="G11" s="34">
        <v>7.06</v>
      </c>
      <c r="H11" s="32" t="s">
        <v>105</v>
      </c>
      <c r="I11" s="35" t="s">
        <v>106</v>
      </c>
      <c r="J11" s="31">
        <v>7.1</v>
      </c>
      <c r="K11" s="32" t="s">
        <v>105</v>
      </c>
      <c r="L11" s="33" t="s">
        <v>106</v>
      </c>
      <c r="M11" s="34">
        <v>7.49</v>
      </c>
      <c r="N11" s="32" t="s">
        <v>105</v>
      </c>
      <c r="O11" s="35" t="s">
        <v>106</v>
      </c>
      <c r="P11" s="31">
        <v>7.24</v>
      </c>
      <c r="Q11" s="32" t="s">
        <v>105</v>
      </c>
      <c r="R11" s="33" t="s">
        <v>106</v>
      </c>
      <c r="S11" s="34">
        <v>7.63</v>
      </c>
      <c r="T11" s="32" t="s">
        <v>105</v>
      </c>
      <c r="U11" s="35" t="s">
        <v>106</v>
      </c>
      <c r="V11" s="31" t="e">
        <v>#REF!</v>
      </c>
      <c r="W11" s="32" t="e">
        <v>#REF!</v>
      </c>
      <c r="X11" s="33" t="e">
        <v>#REF!</v>
      </c>
      <c r="Y11" s="34" t="e">
        <v>#REF!</v>
      </c>
      <c r="Z11" s="32" t="e">
        <v>#REF!</v>
      </c>
      <c r="AA11" s="35" t="e">
        <v>#REF!</v>
      </c>
      <c r="AB11" s="31" t="e">
        <v>#REF!</v>
      </c>
      <c r="AC11" s="32" t="e">
        <v>#REF!</v>
      </c>
      <c r="AD11" s="33" t="e">
        <v>#REF!</v>
      </c>
      <c r="AE11" s="34" t="e">
        <v>#REF!</v>
      </c>
      <c r="AF11" s="32" t="e">
        <v>#REF!</v>
      </c>
      <c r="AG11" s="35" t="e">
        <v>#REF!</v>
      </c>
      <c r="AH11" s="31" t="e">
        <v>#REF!</v>
      </c>
      <c r="AI11" s="32" t="e">
        <v>#REF!</v>
      </c>
      <c r="AJ11" s="33" t="e">
        <v>#REF!</v>
      </c>
      <c r="AK11" s="34" t="e">
        <v>#REF!</v>
      </c>
      <c r="AL11" s="32" t="e">
        <v>#REF!</v>
      </c>
      <c r="AM11" s="35" t="e">
        <v>#REF!</v>
      </c>
    </row>
    <row r="12" spans="1:39" ht="19.899999999999999" customHeight="1" x14ac:dyDescent="0.2">
      <c r="A12" s="39" t="s">
        <v>104</v>
      </c>
      <c r="B12" s="22">
        <v>190</v>
      </c>
      <c r="C12" s="23">
        <v>250</v>
      </c>
      <c r="D12" s="24">
        <v>6.24</v>
      </c>
      <c r="E12" s="25" t="s">
        <v>105</v>
      </c>
      <c r="F12" s="26" t="s">
        <v>106</v>
      </c>
      <c r="G12" s="27">
        <v>6.57</v>
      </c>
      <c r="H12" s="25" t="s">
        <v>105</v>
      </c>
      <c r="I12" s="28" t="s">
        <v>106</v>
      </c>
      <c r="J12" s="24">
        <v>6.61</v>
      </c>
      <c r="K12" s="25" t="s">
        <v>105</v>
      </c>
      <c r="L12" s="26" t="s">
        <v>106</v>
      </c>
      <c r="M12" s="27">
        <v>6.97</v>
      </c>
      <c r="N12" s="25" t="s">
        <v>105</v>
      </c>
      <c r="O12" s="28" t="s">
        <v>106</v>
      </c>
      <c r="P12" s="24">
        <v>6.74</v>
      </c>
      <c r="Q12" s="25" t="s">
        <v>105</v>
      </c>
      <c r="R12" s="26" t="s">
        <v>106</v>
      </c>
      <c r="S12" s="27">
        <v>7.1</v>
      </c>
      <c r="T12" s="25" t="s">
        <v>105</v>
      </c>
      <c r="U12" s="28" t="s">
        <v>106</v>
      </c>
      <c r="V12" s="24" t="e">
        <v>#REF!</v>
      </c>
      <c r="W12" s="25" t="e">
        <v>#REF!</v>
      </c>
      <c r="X12" s="26" t="e">
        <v>#REF!</v>
      </c>
      <c r="Y12" s="27" t="e">
        <v>#REF!</v>
      </c>
      <c r="Z12" s="25" t="e">
        <v>#REF!</v>
      </c>
      <c r="AA12" s="28" t="e">
        <v>#REF!</v>
      </c>
      <c r="AB12" s="24" t="e">
        <v>#REF!</v>
      </c>
      <c r="AC12" s="25" t="e">
        <v>#REF!</v>
      </c>
      <c r="AD12" s="26" t="e">
        <v>#REF!</v>
      </c>
      <c r="AE12" s="27" t="e">
        <v>#REF!</v>
      </c>
      <c r="AF12" s="25" t="e">
        <v>#REF!</v>
      </c>
      <c r="AG12" s="28" t="e">
        <v>#REF!</v>
      </c>
      <c r="AH12" s="24" t="e">
        <v>#REF!</v>
      </c>
      <c r="AI12" s="25" t="e">
        <v>#REF!</v>
      </c>
      <c r="AJ12" s="26" t="e">
        <v>#REF!</v>
      </c>
      <c r="AK12" s="27" t="e">
        <v>#REF!</v>
      </c>
      <c r="AL12" s="25" t="e">
        <v>#REF!</v>
      </c>
      <c r="AM12" s="28" t="e">
        <v>#REF!</v>
      </c>
    </row>
    <row r="13" spans="1:39" ht="19.899999999999999" customHeight="1" x14ac:dyDescent="0.2">
      <c r="A13" s="39" t="s">
        <v>104</v>
      </c>
      <c r="B13" s="29">
        <v>240</v>
      </c>
      <c r="C13" s="30">
        <v>250</v>
      </c>
      <c r="D13" s="31">
        <v>6.07</v>
      </c>
      <c r="E13" s="32" t="s">
        <v>105</v>
      </c>
      <c r="F13" s="33" t="s">
        <v>106</v>
      </c>
      <c r="G13" s="34">
        <v>6.4</v>
      </c>
      <c r="H13" s="32" t="s">
        <v>105</v>
      </c>
      <c r="I13" s="35" t="s">
        <v>106</v>
      </c>
      <c r="J13" s="31">
        <v>6.43</v>
      </c>
      <c r="K13" s="32" t="s">
        <v>105</v>
      </c>
      <c r="L13" s="33" t="s">
        <v>106</v>
      </c>
      <c r="M13" s="34">
        <v>6.78</v>
      </c>
      <c r="N13" s="32" t="s">
        <v>105</v>
      </c>
      <c r="O13" s="35" t="s">
        <v>106</v>
      </c>
      <c r="P13" s="31">
        <v>6.56</v>
      </c>
      <c r="Q13" s="32" t="s">
        <v>105</v>
      </c>
      <c r="R13" s="33" t="s">
        <v>106</v>
      </c>
      <c r="S13" s="34">
        <v>6.91</v>
      </c>
      <c r="T13" s="32" t="s">
        <v>105</v>
      </c>
      <c r="U13" s="35" t="s">
        <v>106</v>
      </c>
      <c r="V13" s="31" t="e">
        <v>#REF!</v>
      </c>
      <c r="W13" s="32" t="e">
        <v>#REF!</v>
      </c>
      <c r="X13" s="33" t="e">
        <v>#REF!</v>
      </c>
      <c r="Y13" s="34" t="e">
        <v>#REF!</v>
      </c>
      <c r="Z13" s="32" t="e">
        <v>#REF!</v>
      </c>
      <c r="AA13" s="35" t="e">
        <v>#REF!</v>
      </c>
      <c r="AB13" s="31" t="e">
        <v>#REF!</v>
      </c>
      <c r="AC13" s="32" t="e">
        <v>#REF!</v>
      </c>
      <c r="AD13" s="33" t="e">
        <v>#REF!</v>
      </c>
      <c r="AE13" s="34" t="e">
        <v>#REF!</v>
      </c>
      <c r="AF13" s="32" t="e">
        <v>#REF!</v>
      </c>
      <c r="AG13" s="35" t="e">
        <v>#REF!</v>
      </c>
      <c r="AH13" s="31" t="e">
        <v>#REF!</v>
      </c>
      <c r="AI13" s="32" t="e">
        <v>#REF!</v>
      </c>
      <c r="AJ13" s="33" t="e">
        <v>#REF!</v>
      </c>
      <c r="AK13" s="34" t="e">
        <v>#REF!</v>
      </c>
      <c r="AL13" s="32" t="e">
        <v>#REF!</v>
      </c>
      <c r="AM13" s="35" t="e">
        <v>#REF!</v>
      </c>
    </row>
    <row r="14" spans="1:39" ht="19.899999999999999" customHeight="1" x14ac:dyDescent="0.2">
      <c r="A14" s="40" t="s">
        <v>104</v>
      </c>
      <c r="B14" s="41">
        <v>270</v>
      </c>
      <c r="C14" s="42">
        <v>250</v>
      </c>
      <c r="D14" s="43">
        <v>5.98</v>
      </c>
      <c r="E14" s="44" t="s">
        <v>105</v>
      </c>
      <c r="F14" s="45" t="s">
        <v>106</v>
      </c>
      <c r="G14" s="46">
        <v>6.3</v>
      </c>
      <c r="H14" s="44" t="s">
        <v>105</v>
      </c>
      <c r="I14" s="47" t="s">
        <v>106</v>
      </c>
      <c r="J14" s="43">
        <v>6.34</v>
      </c>
      <c r="K14" s="44" t="s">
        <v>105</v>
      </c>
      <c r="L14" s="45" t="s">
        <v>106</v>
      </c>
      <c r="M14" s="46">
        <v>6.68</v>
      </c>
      <c r="N14" s="44" t="s">
        <v>105</v>
      </c>
      <c r="O14" s="47" t="s">
        <v>106</v>
      </c>
      <c r="P14" s="43">
        <v>6.45</v>
      </c>
      <c r="Q14" s="44" t="s">
        <v>105</v>
      </c>
      <c r="R14" s="45" t="s">
        <v>106</v>
      </c>
      <c r="S14" s="46">
        <v>6.8</v>
      </c>
      <c r="T14" s="44" t="s">
        <v>105</v>
      </c>
      <c r="U14" s="47" t="s">
        <v>106</v>
      </c>
      <c r="V14" s="43" t="e">
        <v>#REF!</v>
      </c>
      <c r="W14" s="44" t="e">
        <v>#REF!</v>
      </c>
      <c r="X14" s="45" t="e">
        <v>#REF!</v>
      </c>
      <c r="Y14" s="46" t="e">
        <v>#REF!</v>
      </c>
      <c r="Z14" s="44" t="e">
        <v>#REF!</v>
      </c>
      <c r="AA14" s="47" t="e">
        <v>#REF!</v>
      </c>
      <c r="AB14" s="43" t="e">
        <v>#REF!</v>
      </c>
      <c r="AC14" s="44" t="e">
        <v>#REF!</v>
      </c>
      <c r="AD14" s="45" t="e">
        <v>#REF!</v>
      </c>
      <c r="AE14" s="46" t="e">
        <v>#REF!</v>
      </c>
      <c r="AF14" s="44" t="e">
        <v>#REF!</v>
      </c>
      <c r="AG14" s="47" t="e">
        <v>#REF!</v>
      </c>
      <c r="AH14" s="43" t="e">
        <v>#REF!</v>
      </c>
      <c r="AI14" s="44" t="e">
        <v>#REF!</v>
      </c>
      <c r="AJ14" s="45" t="e">
        <v>#REF!</v>
      </c>
      <c r="AK14" s="46" t="e">
        <v>#REF!</v>
      </c>
      <c r="AL14" s="44" t="e">
        <v>#REF!</v>
      </c>
      <c r="AM14" s="47" t="e">
        <v>#REF!</v>
      </c>
    </row>
    <row r="15" spans="1:39" ht="3" customHeight="1" x14ac:dyDescent="0.2">
      <c r="A15" s="1" t="e">
        <v>#REF!</v>
      </c>
      <c r="B15" s="36" t="e">
        <v>#REF!</v>
      </c>
      <c r="C15" s="36" t="e">
        <v>#REF!</v>
      </c>
      <c r="D15" s="37" t="e">
        <v>#REF!</v>
      </c>
      <c r="E15" s="36" t="e">
        <v>#REF!</v>
      </c>
      <c r="F15" s="36" t="e">
        <v>#REF!</v>
      </c>
      <c r="G15" s="36" t="e">
        <v>#REF!</v>
      </c>
      <c r="H15" s="36" t="e">
        <v>#REF!</v>
      </c>
      <c r="I15" s="36" t="e">
        <v>#REF!</v>
      </c>
      <c r="J15" s="37" t="e">
        <v>#REF!</v>
      </c>
      <c r="K15" s="36" t="e">
        <v>#REF!</v>
      </c>
      <c r="L15" s="36" t="e">
        <v>#REF!</v>
      </c>
      <c r="M15" s="36" t="e">
        <v>#REF!</v>
      </c>
      <c r="N15" s="36" t="e">
        <v>#REF!</v>
      </c>
      <c r="O15" s="36" t="e">
        <v>#REF!</v>
      </c>
      <c r="P15" s="37" t="e">
        <v>#REF!</v>
      </c>
      <c r="Q15" s="36" t="e">
        <v>#REF!</v>
      </c>
      <c r="R15" s="36" t="e">
        <v>#REF!</v>
      </c>
      <c r="S15" s="36" t="e">
        <v>#REF!</v>
      </c>
      <c r="T15" s="36" t="e">
        <v>#REF!</v>
      </c>
      <c r="U15" s="36" t="e">
        <v>#REF!</v>
      </c>
      <c r="V15" s="37" t="e">
        <v>#REF!</v>
      </c>
      <c r="W15" s="36" t="e">
        <v>#REF!</v>
      </c>
      <c r="X15" s="36" t="e">
        <v>#REF!</v>
      </c>
      <c r="Y15" s="36" t="e">
        <v>#REF!</v>
      </c>
      <c r="Z15" s="36" t="e">
        <v>#REF!</v>
      </c>
      <c r="AA15" s="36" t="e">
        <v>#REF!</v>
      </c>
      <c r="AB15" s="37" t="e">
        <v>#REF!</v>
      </c>
      <c r="AC15" s="36" t="e">
        <v>#REF!</v>
      </c>
      <c r="AD15" s="36" t="e">
        <v>#REF!</v>
      </c>
      <c r="AE15" s="36" t="e">
        <v>#REF!</v>
      </c>
      <c r="AF15" s="36" t="e">
        <v>#REF!</v>
      </c>
      <c r="AG15" s="36" t="e">
        <v>#REF!</v>
      </c>
      <c r="AH15" s="37" t="e">
        <v>#REF!</v>
      </c>
      <c r="AI15" s="36" t="e">
        <v>#REF!</v>
      </c>
      <c r="AJ15" s="36" t="e">
        <v>#REF!</v>
      </c>
      <c r="AK15" s="36" t="e">
        <v>#REF!</v>
      </c>
      <c r="AL15" s="36" t="e">
        <v>#REF!</v>
      </c>
      <c r="AM15" s="36" t="e">
        <v>#REF!</v>
      </c>
    </row>
    <row r="16" spans="1:39" ht="19.899999999999999" customHeight="1" x14ac:dyDescent="0.2">
      <c r="A16" s="38" t="s">
        <v>108</v>
      </c>
      <c r="B16" s="15">
        <v>70</v>
      </c>
      <c r="C16" s="16">
        <v>150</v>
      </c>
      <c r="D16" s="17">
        <v>7.05</v>
      </c>
      <c r="E16" s="18" t="s">
        <v>105</v>
      </c>
      <c r="F16" s="19" t="s">
        <v>106</v>
      </c>
      <c r="G16" s="20">
        <v>7.43</v>
      </c>
      <c r="H16" s="18" t="s">
        <v>105</v>
      </c>
      <c r="I16" s="21" t="s">
        <v>106</v>
      </c>
      <c r="J16" s="17">
        <v>7.47</v>
      </c>
      <c r="K16" s="18" t="s">
        <v>105</v>
      </c>
      <c r="L16" s="19" t="s">
        <v>106</v>
      </c>
      <c r="M16" s="20">
        <v>7.8</v>
      </c>
      <c r="N16" s="18" t="s">
        <v>105</v>
      </c>
      <c r="O16" s="21" t="s">
        <v>107</v>
      </c>
      <c r="P16" s="17">
        <v>7.61</v>
      </c>
      <c r="Q16" s="18" t="s">
        <v>105</v>
      </c>
      <c r="R16" s="19" t="s">
        <v>106</v>
      </c>
      <c r="S16" s="20">
        <v>7.77</v>
      </c>
      <c r="T16" s="18" t="s">
        <v>105</v>
      </c>
      <c r="U16" s="21" t="s">
        <v>107</v>
      </c>
      <c r="V16" s="17">
        <v>7.27</v>
      </c>
      <c r="W16" s="18" t="s">
        <v>105</v>
      </c>
      <c r="X16" s="19" t="s">
        <v>106</v>
      </c>
      <c r="Y16" s="20">
        <v>7.66</v>
      </c>
      <c r="Z16" s="18" t="s">
        <v>105</v>
      </c>
      <c r="AA16" s="21" t="s">
        <v>106</v>
      </c>
      <c r="AB16" s="17">
        <v>7.71</v>
      </c>
      <c r="AC16" s="18" t="s">
        <v>105</v>
      </c>
      <c r="AD16" s="19" t="s">
        <v>106</v>
      </c>
      <c r="AE16" s="20">
        <v>7.89</v>
      </c>
      <c r="AF16" s="18" t="s">
        <v>105</v>
      </c>
      <c r="AG16" s="21" t="s">
        <v>107</v>
      </c>
      <c r="AH16" s="17">
        <v>7.87</v>
      </c>
      <c r="AI16" s="18" t="s">
        <v>105</v>
      </c>
      <c r="AJ16" s="19" t="s">
        <v>107</v>
      </c>
      <c r="AK16" s="20">
        <v>7.87</v>
      </c>
      <c r="AL16" s="18" t="s">
        <v>105</v>
      </c>
      <c r="AM16" s="21" t="s">
        <v>107</v>
      </c>
    </row>
    <row r="17" spans="1:39" ht="19.899999999999999" customHeight="1" x14ac:dyDescent="0.2">
      <c r="A17" s="39" t="s">
        <v>108</v>
      </c>
      <c r="B17" s="22">
        <v>190</v>
      </c>
      <c r="C17" s="23">
        <v>150</v>
      </c>
      <c r="D17" s="24">
        <v>6.51</v>
      </c>
      <c r="E17" s="25" t="s">
        <v>105</v>
      </c>
      <c r="F17" s="26" t="s">
        <v>106</v>
      </c>
      <c r="G17" s="27">
        <v>6.86</v>
      </c>
      <c r="H17" s="25" t="s">
        <v>105</v>
      </c>
      <c r="I17" s="28" t="s">
        <v>106</v>
      </c>
      <c r="J17" s="24">
        <v>6.95</v>
      </c>
      <c r="K17" s="25" t="s">
        <v>105</v>
      </c>
      <c r="L17" s="26" t="s">
        <v>106</v>
      </c>
      <c r="M17" s="27">
        <v>7.32</v>
      </c>
      <c r="N17" s="25" t="s">
        <v>105</v>
      </c>
      <c r="O17" s="28" t="s">
        <v>106</v>
      </c>
      <c r="P17" s="24">
        <v>7.08</v>
      </c>
      <c r="Q17" s="25" t="s">
        <v>105</v>
      </c>
      <c r="R17" s="26" t="s">
        <v>106</v>
      </c>
      <c r="S17" s="27">
        <v>7.46</v>
      </c>
      <c r="T17" s="25" t="s">
        <v>105</v>
      </c>
      <c r="U17" s="28" t="s">
        <v>106</v>
      </c>
      <c r="V17" s="24">
        <v>6.71</v>
      </c>
      <c r="W17" s="25" t="s">
        <v>105</v>
      </c>
      <c r="X17" s="26" t="s">
        <v>106</v>
      </c>
      <c r="Y17" s="27">
        <v>7.07</v>
      </c>
      <c r="Z17" s="25" t="s">
        <v>105</v>
      </c>
      <c r="AA17" s="28" t="s">
        <v>106</v>
      </c>
      <c r="AB17" s="24">
        <v>7.13</v>
      </c>
      <c r="AC17" s="25" t="s">
        <v>105</v>
      </c>
      <c r="AD17" s="26" t="s">
        <v>106</v>
      </c>
      <c r="AE17" s="27">
        <v>7.52</v>
      </c>
      <c r="AF17" s="25" t="s">
        <v>105</v>
      </c>
      <c r="AG17" s="28" t="s">
        <v>106</v>
      </c>
      <c r="AH17" s="24">
        <v>7.3</v>
      </c>
      <c r="AI17" s="25" t="s">
        <v>105</v>
      </c>
      <c r="AJ17" s="26" t="s">
        <v>106</v>
      </c>
      <c r="AK17" s="27">
        <v>7.69</v>
      </c>
      <c r="AL17" s="25" t="s">
        <v>105</v>
      </c>
      <c r="AM17" s="28" t="s">
        <v>106</v>
      </c>
    </row>
    <row r="18" spans="1:39" ht="19.899999999999999" customHeight="1" x14ac:dyDescent="0.2">
      <c r="A18" s="39" t="s">
        <v>108</v>
      </c>
      <c r="B18" s="29">
        <v>240</v>
      </c>
      <c r="C18" s="30">
        <v>150</v>
      </c>
      <c r="D18" s="31">
        <v>6.31</v>
      </c>
      <c r="E18" s="32" t="s">
        <v>105</v>
      </c>
      <c r="F18" s="33" t="s">
        <v>106</v>
      </c>
      <c r="G18" s="34">
        <v>6.65</v>
      </c>
      <c r="H18" s="32" t="s">
        <v>105</v>
      </c>
      <c r="I18" s="35" t="s">
        <v>106</v>
      </c>
      <c r="J18" s="31">
        <v>6.75</v>
      </c>
      <c r="K18" s="32" t="s">
        <v>105</v>
      </c>
      <c r="L18" s="33" t="s">
        <v>106</v>
      </c>
      <c r="M18" s="34">
        <v>7.11</v>
      </c>
      <c r="N18" s="32" t="s">
        <v>105</v>
      </c>
      <c r="O18" s="35" t="s">
        <v>106</v>
      </c>
      <c r="P18" s="31">
        <v>6.89</v>
      </c>
      <c r="Q18" s="32" t="s">
        <v>105</v>
      </c>
      <c r="R18" s="33" t="s">
        <v>106</v>
      </c>
      <c r="S18" s="34">
        <v>7.26</v>
      </c>
      <c r="T18" s="32" t="s">
        <v>105</v>
      </c>
      <c r="U18" s="35" t="s">
        <v>106</v>
      </c>
      <c r="V18" s="31">
        <v>6.49</v>
      </c>
      <c r="W18" s="32" t="s">
        <v>105</v>
      </c>
      <c r="X18" s="33" t="s">
        <v>106</v>
      </c>
      <c r="Y18" s="34">
        <v>6.84</v>
      </c>
      <c r="Z18" s="32" t="s">
        <v>105</v>
      </c>
      <c r="AA18" s="35" t="s">
        <v>106</v>
      </c>
      <c r="AB18" s="31">
        <v>6.93</v>
      </c>
      <c r="AC18" s="32" t="s">
        <v>105</v>
      </c>
      <c r="AD18" s="33" t="s">
        <v>106</v>
      </c>
      <c r="AE18" s="34">
        <v>7.3</v>
      </c>
      <c r="AF18" s="32" t="s">
        <v>105</v>
      </c>
      <c r="AG18" s="35" t="s">
        <v>106</v>
      </c>
      <c r="AH18" s="31">
        <v>7.09</v>
      </c>
      <c r="AI18" s="32" t="s">
        <v>105</v>
      </c>
      <c r="AJ18" s="33" t="s">
        <v>106</v>
      </c>
      <c r="AK18" s="34">
        <v>7.47</v>
      </c>
      <c r="AL18" s="32" t="s">
        <v>105</v>
      </c>
      <c r="AM18" s="35" t="s">
        <v>106</v>
      </c>
    </row>
    <row r="19" spans="1:39" ht="19.899999999999999" customHeight="1" x14ac:dyDescent="0.2">
      <c r="A19" s="39" t="s">
        <v>108</v>
      </c>
      <c r="B19" s="22">
        <v>270</v>
      </c>
      <c r="C19" s="23">
        <v>150</v>
      </c>
      <c r="D19" s="24">
        <v>6.2</v>
      </c>
      <c r="E19" s="25" t="s">
        <v>105</v>
      </c>
      <c r="F19" s="26" t="s">
        <v>106</v>
      </c>
      <c r="G19" s="27">
        <v>6.54</v>
      </c>
      <c r="H19" s="25" t="s">
        <v>105</v>
      </c>
      <c r="I19" s="28" t="s">
        <v>106</v>
      </c>
      <c r="J19" s="24">
        <v>6.63</v>
      </c>
      <c r="K19" s="25" t="s">
        <v>105</v>
      </c>
      <c r="L19" s="26" t="s">
        <v>106</v>
      </c>
      <c r="M19" s="27">
        <v>6.99</v>
      </c>
      <c r="N19" s="25" t="s">
        <v>105</v>
      </c>
      <c r="O19" s="28" t="s">
        <v>106</v>
      </c>
      <c r="P19" s="24">
        <v>6.77</v>
      </c>
      <c r="Q19" s="25" t="s">
        <v>105</v>
      </c>
      <c r="R19" s="26" t="s">
        <v>106</v>
      </c>
      <c r="S19" s="27">
        <v>7.14</v>
      </c>
      <c r="T19" s="25" t="s">
        <v>105</v>
      </c>
      <c r="U19" s="28" t="s">
        <v>106</v>
      </c>
      <c r="V19" s="24">
        <v>6.36</v>
      </c>
      <c r="W19" s="25" t="s">
        <v>105</v>
      </c>
      <c r="X19" s="26" t="s">
        <v>106</v>
      </c>
      <c r="Y19" s="27">
        <v>6.71</v>
      </c>
      <c r="Z19" s="25" t="s">
        <v>105</v>
      </c>
      <c r="AA19" s="28" t="s">
        <v>106</v>
      </c>
      <c r="AB19" s="24">
        <v>6.81</v>
      </c>
      <c r="AC19" s="25" t="s">
        <v>105</v>
      </c>
      <c r="AD19" s="26" t="s">
        <v>106</v>
      </c>
      <c r="AE19" s="27">
        <v>7.18</v>
      </c>
      <c r="AF19" s="25" t="s">
        <v>105</v>
      </c>
      <c r="AG19" s="28" t="s">
        <v>106</v>
      </c>
      <c r="AH19" s="24">
        <v>6.97</v>
      </c>
      <c r="AI19" s="25" t="s">
        <v>105</v>
      </c>
      <c r="AJ19" s="26" t="s">
        <v>106</v>
      </c>
      <c r="AK19" s="27">
        <v>7.35</v>
      </c>
      <c r="AL19" s="25" t="s">
        <v>105</v>
      </c>
      <c r="AM19" s="28" t="s">
        <v>106</v>
      </c>
    </row>
    <row r="20" spans="1:39" ht="19.899999999999999" customHeight="1" x14ac:dyDescent="0.2">
      <c r="A20" s="39" t="s">
        <v>108</v>
      </c>
      <c r="B20" s="29">
        <v>70</v>
      </c>
      <c r="C20" s="30">
        <v>250</v>
      </c>
      <c r="D20" s="31">
        <v>6.63</v>
      </c>
      <c r="E20" s="32" t="s">
        <v>105</v>
      </c>
      <c r="F20" s="33" t="s">
        <v>106</v>
      </c>
      <c r="G20" s="34">
        <v>6.99</v>
      </c>
      <c r="H20" s="32" t="s">
        <v>105</v>
      </c>
      <c r="I20" s="35" t="s">
        <v>106</v>
      </c>
      <c r="J20" s="31">
        <v>7.03</v>
      </c>
      <c r="K20" s="32" t="s">
        <v>105</v>
      </c>
      <c r="L20" s="33" t="s">
        <v>106</v>
      </c>
      <c r="M20" s="34">
        <v>7.41</v>
      </c>
      <c r="N20" s="32" t="s">
        <v>105</v>
      </c>
      <c r="O20" s="35" t="s">
        <v>106</v>
      </c>
      <c r="P20" s="31">
        <v>7.16</v>
      </c>
      <c r="Q20" s="32" t="s">
        <v>105</v>
      </c>
      <c r="R20" s="33" t="s">
        <v>106</v>
      </c>
      <c r="S20" s="34">
        <v>7.55</v>
      </c>
      <c r="T20" s="32" t="s">
        <v>105</v>
      </c>
      <c r="U20" s="35" t="s">
        <v>106</v>
      </c>
      <c r="V20" s="31">
        <v>6.81</v>
      </c>
      <c r="W20" s="32" t="s">
        <v>105</v>
      </c>
      <c r="X20" s="33" t="s">
        <v>106</v>
      </c>
      <c r="Y20" s="34">
        <v>7.18</v>
      </c>
      <c r="Z20" s="32" t="s">
        <v>105</v>
      </c>
      <c r="AA20" s="35" t="s">
        <v>106</v>
      </c>
      <c r="AB20" s="31">
        <v>7.22</v>
      </c>
      <c r="AC20" s="32" t="s">
        <v>105</v>
      </c>
      <c r="AD20" s="33" t="s">
        <v>106</v>
      </c>
      <c r="AE20" s="34">
        <v>7.61</v>
      </c>
      <c r="AF20" s="32" t="s">
        <v>105</v>
      </c>
      <c r="AG20" s="35" t="s">
        <v>106</v>
      </c>
      <c r="AH20" s="31">
        <v>7.39</v>
      </c>
      <c r="AI20" s="32" t="s">
        <v>105</v>
      </c>
      <c r="AJ20" s="33" t="s">
        <v>106</v>
      </c>
      <c r="AK20" s="34">
        <v>7.79</v>
      </c>
      <c r="AL20" s="32" t="s">
        <v>105</v>
      </c>
      <c r="AM20" s="35" t="s">
        <v>106</v>
      </c>
    </row>
    <row r="21" spans="1:39" ht="19.899999999999999" customHeight="1" x14ac:dyDescent="0.2">
      <c r="A21" s="39" t="s">
        <v>108</v>
      </c>
      <c r="B21" s="22">
        <v>190</v>
      </c>
      <c r="C21" s="23">
        <v>250</v>
      </c>
      <c r="D21" s="24">
        <v>6.21</v>
      </c>
      <c r="E21" s="25" t="s">
        <v>105</v>
      </c>
      <c r="F21" s="26" t="s">
        <v>106</v>
      </c>
      <c r="G21" s="27">
        <v>6.55</v>
      </c>
      <c r="H21" s="25" t="s">
        <v>105</v>
      </c>
      <c r="I21" s="28" t="s">
        <v>106</v>
      </c>
      <c r="J21" s="24">
        <v>6.59</v>
      </c>
      <c r="K21" s="25" t="s">
        <v>105</v>
      </c>
      <c r="L21" s="26" t="s">
        <v>106</v>
      </c>
      <c r="M21" s="27">
        <v>6.94</v>
      </c>
      <c r="N21" s="25" t="s">
        <v>105</v>
      </c>
      <c r="O21" s="28" t="s">
        <v>106</v>
      </c>
      <c r="P21" s="24">
        <v>6.71</v>
      </c>
      <c r="Q21" s="25" t="s">
        <v>105</v>
      </c>
      <c r="R21" s="26" t="s">
        <v>106</v>
      </c>
      <c r="S21" s="27">
        <v>7.07</v>
      </c>
      <c r="T21" s="25" t="s">
        <v>105</v>
      </c>
      <c r="U21" s="28" t="s">
        <v>106</v>
      </c>
      <c r="V21" s="24">
        <v>6.35</v>
      </c>
      <c r="W21" s="25" t="s">
        <v>105</v>
      </c>
      <c r="X21" s="26" t="s">
        <v>106</v>
      </c>
      <c r="Y21" s="27">
        <v>6.7</v>
      </c>
      <c r="Z21" s="25" t="s">
        <v>105</v>
      </c>
      <c r="AA21" s="28" t="s">
        <v>106</v>
      </c>
      <c r="AB21" s="24">
        <v>6.74</v>
      </c>
      <c r="AC21" s="25" t="s">
        <v>105</v>
      </c>
      <c r="AD21" s="26" t="s">
        <v>106</v>
      </c>
      <c r="AE21" s="27">
        <v>7.11</v>
      </c>
      <c r="AF21" s="25" t="s">
        <v>105</v>
      </c>
      <c r="AG21" s="28" t="s">
        <v>106</v>
      </c>
      <c r="AH21" s="24">
        <v>6.9</v>
      </c>
      <c r="AI21" s="25" t="s">
        <v>105</v>
      </c>
      <c r="AJ21" s="26" t="s">
        <v>106</v>
      </c>
      <c r="AK21" s="27">
        <v>7.27</v>
      </c>
      <c r="AL21" s="25" t="s">
        <v>105</v>
      </c>
      <c r="AM21" s="28" t="s">
        <v>106</v>
      </c>
    </row>
    <row r="22" spans="1:39" ht="19.899999999999999" customHeight="1" x14ac:dyDescent="0.2">
      <c r="A22" s="39" t="s">
        <v>108</v>
      </c>
      <c r="B22" s="29">
        <v>240</v>
      </c>
      <c r="C22" s="30">
        <v>250</v>
      </c>
      <c r="D22" s="31">
        <v>6.06</v>
      </c>
      <c r="E22" s="32" t="s">
        <v>105</v>
      </c>
      <c r="F22" s="33" t="s">
        <v>106</v>
      </c>
      <c r="G22" s="34">
        <v>6.39</v>
      </c>
      <c r="H22" s="32" t="s">
        <v>105</v>
      </c>
      <c r="I22" s="35" t="s">
        <v>106</v>
      </c>
      <c r="J22" s="31">
        <v>6.42</v>
      </c>
      <c r="K22" s="32" t="s">
        <v>105</v>
      </c>
      <c r="L22" s="33" t="s">
        <v>106</v>
      </c>
      <c r="M22" s="34">
        <v>6.77</v>
      </c>
      <c r="N22" s="32" t="s">
        <v>105</v>
      </c>
      <c r="O22" s="35" t="s">
        <v>106</v>
      </c>
      <c r="P22" s="31">
        <v>6.55</v>
      </c>
      <c r="Q22" s="32" t="s">
        <v>105</v>
      </c>
      <c r="R22" s="33" t="s">
        <v>106</v>
      </c>
      <c r="S22" s="34">
        <v>6.9</v>
      </c>
      <c r="T22" s="32" t="s">
        <v>105</v>
      </c>
      <c r="U22" s="35" t="s">
        <v>106</v>
      </c>
      <c r="V22" s="31">
        <v>6.19</v>
      </c>
      <c r="W22" s="32" t="s">
        <v>105</v>
      </c>
      <c r="X22" s="33" t="s">
        <v>106</v>
      </c>
      <c r="Y22" s="34">
        <v>6.52</v>
      </c>
      <c r="Z22" s="32" t="s">
        <v>105</v>
      </c>
      <c r="AA22" s="35" t="s">
        <v>106</v>
      </c>
      <c r="AB22" s="31">
        <v>6.57</v>
      </c>
      <c r="AC22" s="32" t="s">
        <v>105</v>
      </c>
      <c r="AD22" s="33" t="s">
        <v>106</v>
      </c>
      <c r="AE22" s="34">
        <v>6.92</v>
      </c>
      <c r="AF22" s="32" t="s">
        <v>105</v>
      </c>
      <c r="AG22" s="35" t="s">
        <v>106</v>
      </c>
      <c r="AH22" s="31">
        <v>6.72</v>
      </c>
      <c r="AI22" s="32" t="s">
        <v>105</v>
      </c>
      <c r="AJ22" s="33" t="s">
        <v>106</v>
      </c>
      <c r="AK22" s="34">
        <v>7.08</v>
      </c>
      <c r="AL22" s="32" t="s">
        <v>105</v>
      </c>
      <c r="AM22" s="35" t="s">
        <v>106</v>
      </c>
    </row>
    <row r="23" spans="1:39" ht="18.95" customHeight="1" x14ac:dyDescent="0.2">
      <c r="A23" s="40" t="s">
        <v>108</v>
      </c>
      <c r="B23" s="41">
        <v>270</v>
      </c>
      <c r="C23" s="42">
        <v>250</v>
      </c>
      <c r="D23" s="43">
        <v>5.97</v>
      </c>
      <c r="E23" s="44" t="s">
        <v>105</v>
      </c>
      <c r="F23" s="45" t="s">
        <v>106</v>
      </c>
      <c r="G23" s="46">
        <v>6.3</v>
      </c>
      <c r="H23" s="44" t="s">
        <v>105</v>
      </c>
      <c r="I23" s="47" t="s">
        <v>106</v>
      </c>
      <c r="J23" s="43">
        <v>6.33</v>
      </c>
      <c r="K23" s="44" t="s">
        <v>105</v>
      </c>
      <c r="L23" s="45" t="s">
        <v>106</v>
      </c>
      <c r="M23" s="46">
        <v>6.68</v>
      </c>
      <c r="N23" s="44" t="s">
        <v>105</v>
      </c>
      <c r="O23" s="47" t="s">
        <v>106</v>
      </c>
      <c r="P23" s="43">
        <v>6.45</v>
      </c>
      <c r="Q23" s="44" t="s">
        <v>105</v>
      </c>
      <c r="R23" s="45" t="s">
        <v>106</v>
      </c>
      <c r="S23" s="46">
        <v>6.8</v>
      </c>
      <c r="T23" s="44" t="s">
        <v>105</v>
      </c>
      <c r="U23" s="47" t="s">
        <v>106</v>
      </c>
      <c r="V23" s="43">
        <v>6.1</v>
      </c>
      <c r="W23" s="44" t="s">
        <v>105</v>
      </c>
      <c r="X23" s="45" t="s">
        <v>106</v>
      </c>
      <c r="Y23" s="46">
        <v>6.43</v>
      </c>
      <c r="Z23" s="44" t="s">
        <v>105</v>
      </c>
      <c r="AA23" s="47" t="s">
        <v>106</v>
      </c>
      <c r="AB23" s="43">
        <v>6.47</v>
      </c>
      <c r="AC23" s="44" t="s">
        <v>105</v>
      </c>
      <c r="AD23" s="45" t="s">
        <v>106</v>
      </c>
      <c r="AE23" s="46">
        <v>6.82</v>
      </c>
      <c r="AF23" s="44" t="s">
        <v>105</v>
      </c>
      <c r="AG23" s="47" t="s">
        <v>106</v>
      </c>
      <c r="AH23" s="43">
        <v>6.62</v>
      </c>
      <c r="AI23" s="44" t="s">
        <v>105</v>
      </c>
      <c r="AJ23" s="45" t="s">
        <v>106</v>
      </c>
      <c r="AK23" s="46">
        <v>6.97</v>
      </c>
      <c r="AL23" s="44" t="s">
        <v>105</v>
      </c>
      <c r="AM23" s="47" t="s">
        <v>106</v>
      </c>
    </row>
    <row r="24" spans="1:39" ht="3" customHeight="1" x14ac:dyDescent="0.2">
      <c r="A24" s="1" t="e">
        <v>#REF!</v>
      </c>
      <c r="B24" s="36" t="e">
        <v>#REF!</v>
      </c>
      <c r="C24" s="36" t="e">
        <v>#REF!</v>
      </c>
      <c r="D24" s="37" t="e">
        <v>#REF!</v>
      </c>
      <c r="E24" s="36" t="e">
        <v>#REF!</v>
      </c>
      <c r="F24" s="36" t="e">
        <v>#REF!</v>
      </c>
      <c r="G24" s="36" t="e">
        <v>#REF!</v>
      </c>
      <c r="H24" s="36" t="e">
        <v>#REF!</v>
      </c>
      <c r="I24" s="36" t="e">
        <v>#REF!</v>
      </c>
      <c r="J24" s="37" t="e">
        <v>#REF!</v>
      </c>
      <c r="K24" s="36" t="e">
        <v>#REF!</v>
      </c>
      <c r="L24" s="36" t="e">
        <v>#REF!</v>
      </c>
      <c r="M24" s="36" t="e">
        <v>#REF!</v>
      </c>
      <c r="N24" s="36" t="e">
        <v>#REF!</v>
      </c>
      <c r="O24" s="36" t="e">
        <v>#REF!</v>
      </c>
      <c r="P24" s="37" t="e">
        <v>#REF!</v>
      </c>
      <c r="Q24" s="36" t="e">
        <v>#REF!</v>
      </c>
      <c r="R24" s="36" t="e">
        <v>#REF!</v>
      </c>
      <c r="S24" s="36" t="e">
        <v>#REF!</v>
      </c>
      <c r="T24" s="36" t="e">
        <v>#REF!</v>
      </c>
      <c r="U24" s="36" t="e">
        <v>#REF!</v>
      </c>
      <c r="V24" s="37" t="e">
        <v>#REF!</v>
      </c>
      <c r="W24" s="36" t="e">
        <v>#REF!</v>
      </c>
      <c r="X24" s="36" t="e">
        <v>#REF!</v>
      </c>
      <c r="Y24" s="36" t="e">
        <v>#REF!</v>
      </c>
      <c r="Z24" s="36" t="e">
        <v>#REF!</v>
      </c>
      <c r="AA24" s="36" t="e">
        <v>#REF!</v>
      </c>
      <c r="AB24" s="37" t="e">
        <v>#REF!</v>
      </c>
      <c r="AC24" s="36" t="e">
        <v>#REF!</v>
      </c>
      <c r="AD24" s="36" t="e">
        <v>#REF!</v>
      </c>
      <c r="AE24" s="36" t="e">
        <v>#REF!</v>
      </c>
      <c r="AF24" s="36" t="e">
        <v>#REF!</v>
      </c>
      <c r="AG24" s="36" t="e">
        <v>#REF!</v>
      </c>
      <c r="AH24" s="37" t="e">
        <v>#REF!</v>
      </c>
      <c r="AI24" s="36" t="e">
        <v>#REF!</v>
      </c>
      <c r="AJ24" s="36" t="e">
        <v>#REF!</v>
      </c>
      <c r="AK24" s="36" t="e">
        <v>#REF!</v>
      </c>
      <c r="AL24" s="36" t="e">
        <v>#REF!</v>
      </c>
      <c r="AM24" s="36" t="e">
        <v>#REF!</v>
      </c>
    </row>
    <row r="25" spans="1:39" ht="19.899999999999999" customHeight="1" x14ac:dyDescent="0.2">
      <c r="A25" s="38" t="s">
        <v>109</v>
      </c>
      <c r="B25" s="15">
        <v>70</v>
      </c>
      <c r="C25" s="16">
        <v>150</v>
      </c>
      <c r="D25" s="17">
        <v>6.89</v>
      </c>
      <c r="E25" s="18" t="s">
        <v>105</v>
      </c>
      <c r="F25" s="19" t="s">
        <v>106</v>
      </c>
      <c r="G25" s="20">
        <v>7.26</v>
      </c>
      <c r="H25" s="18" t="s">
        <v>105</v>
      </c>
      <c r="I25" s="21" t="s">
        <v>106</v>
      </c>
      <c r="J25" s="17">
        <v>7.34</v>
      </c>
      <c r="K25" s="18" t="s">
        <v>105</v>
      </c>
      <c r="L25" s="19" t="s">
        <v>106</v>
      </c>
      <c r="M25" s="20">
        <v>7.59</v>
      </c>
      <c r="N25" s="18" t="s">
        <v>105</v>
      </c>
      <c r="O25" s="21" t="s">
        <v>107</v>
      </c>
      <c r="P25" s="17">
        <v>7.48</v>
      </c>
      <c r="Q25" s="18" t="s">
        <v>105</v>
      </c>
      <c r="R25" s="19" t="s">
        <v>106</v>
      </c>
      <c r="S25" s="20">
        <v>7.57</v>
      </c>
      <c r="T25" s="18" t="s">
        <v>105</v>
      </c>
      <c r="U25" s="21" t="s">
        <v>107</v>
      </c>
      <c r="V25" s="17">
        <v>7.14</v>
      </c>
      <c r="W25" s="18" t="s">
        <v>105</v>
      </c>
      <c r="X25" s="19" t="s">
        <v>106</v>
      </c>
      <c r="Y25" s="20">
        <v>7.53</v>
      </c>
      <c r="Z25" s="18" t="s">
        <v>105</v>
      </c>
      <c r="AA25" s="21" t="s">
        <v>106</v>
      </c>
      <c r="AB25" s="17">
        <v>7.58</v>
      </c>
      <c r="AC25" s="18" t="s">
        <v>105</v>
      </c>
      <c r="AD25" s="19" t="s">
        <v>106</v>
      </c>
      <c r="AE25" s="20">
        <v>7.67</v>
      </c>
      <c r="AF25" s="18" t="s">
        <v>105</v>
      </c>
      <c r="AG25" s="21" t="s">
        <v>107</v>
      </c>
      <c r="AH25" s="17">
        <v>7.65</v>
      </c>
      <c r="AI25" s="18" t="s">
        <v>105</v>
      </c>
      <c r="AJ25" s="19" t="s">
        <v>107</v>
      </c>
      <c r="AK25" s="20">
        <v>7.65</v>
      </c>
      <c r="AL25" s="18" t="s">
        <v>105</v>
      </c>
      <c r="AM25" s="21" t="s">
        <v>107</v>
      </c>
    </row>
    <row r="26" spans="1:39" ht="19.899999999999999" customHeight="1" x14ac:dyDescent="0.2">
      <c r="A26" s="39" t="s">
        <v>109</v>
      </c>
      <c r="B26" s="22">
        <v>190</v>
      </c>
      <c r="C26" s="23">
        <v>150</v>
      </c>
      <c r="D26" s="24">
        <v>6.4</v>
      </c>
      <c r="E26" s="25" t="s">
        <v>105</v>
      </c>
      <c r="F26" s="26" t="s">
        <v>106</v>
      </c>
      <c r="G26" s="27">
        <v>6.75</v>
      </c>
      <c r="H26" s="25" t="s">
        <v>105</v>
      </c>
      <c r="I26" s="28" t="s">
        <v>106</v>
      </c>
      <c r="J26" s="24">
        <v>6.84</v>
      </c>
      <c r="K26" s="25" t="s">
        <v>105</v>
      </c>
      <c r="L26" s="26" t="s">
        <v>106</v>
      </c>
      <c r="M26" s="27">
        <v>7.21</v>
      </c>
      <c r="N26" s="25" t="s">
        <v>105</v>
      </c>
      <c r="O26" s="28" t="s">
        <v>106</v>
      </c>
      <c r="P26" s="24">
        <v>6.99</v>
      </c>
      <c r="Q26" s="25" t="s">
        <v>105</v>
      </c>
      <c r="R26" s="26" t="s">
        <v>106</v>
      </c>
      <c r="S26" s="27">
        <v>7.37</v>
      </c>
      <c r="T26" s="25" t="s">
        <v>105</v>
      </c>
      <c r="U26" s="28" t="s">
        <v>106</v>
      </c>
      <c r="V26" s="24">
        <v>6.6</v>
      </c>
      <c r="W26" s="25" t="s">
        <v>105</v>
      </c>
      <c r="X26" s="26" t="s">
        <v>106</v>
      </c>
      <c r="Y26" s="27">
        <v>6.95</v>
      </c>
      <c r="Z26" s="25" t="s">
        <v>105</v>
      </c>
      <c r="AA26" s="28" t="s">
        <v>106</v>
      </c>
      <c r="AB26" s="24">
        <v>7.06</v>
      </c>
      <c r="AC26" s="25" t="s">
        <v>105</v>
      </c>
      <c r="AD26" s="26" t="s">
        <v>106</v>
      </c>
      <c r="AE26" s="27">
        <v>7.44</v>
      </c>
      <c r="AF26" s="25" t="s">
        <v>105</v>
      </c>
      <c r="AG26" s="28" t="s">
        <v>106</v>
      </c>
      <c r="AH26" s="24">
        <v>7.23</v>
      </c>
      <c r="AI26" s="25" t="s">
        <v>105</v>
      </c>
      <c r="AJ26" s="26" t="s">
        <v>106</v>
      </c>
      <c r="AK26" s="27">
        <v>7.62</v>
      </c>
      <c r="AL26" s="25" t="s">
        <v>105</v>
      </c>
      <c r="AM26" s="28" t="s">
        <v>106</v>
      </c>
    </row>
    <row r="27" spans="1:39" ht="19.899999999999999" customHeight="1" x14ac:dyDescent="0.2">
      <c r="A27" s="39" t="s">
        <v>109</v>
      </c>
      <c r="B27" s="29">
        <v>240</v>
      </c>
      <c r="C27" s="30">
        <v>150</v>
      </c>
      <c r="D27" s="31">
        <v>6.23</v>
      </c>
      <c r="E27" s="32" t="s">
        <v>105</v>
      </c>
      <c r="F27" s="33" t="s">
        <v>106</v>
      </c>
      <c r="G27" s="34">
        <v>6.57</v>
      </c>
      <c r="H27" s="32" t="s">
        <v>105</v>
      </c>
      <c r="I27" s="35" t="s">
        <v>106</v>
      </c>
      <c r="J27" s="31">
        <v>6.66</v>
      </c>
      <c r="K27" s="32" t="s">
        <v>105</v>
      </c>
      <c r="L27" s="33" t="s">
        <v>106</v>
      </c>
      <c r="M27" s="34">
        <v>7.02</v>
      </c>
      <c r="N27" s="32" t="s">
        <v>105</v>
      </c>
      <c r="O27" s="35" t="s">
        <v>106</v>
      </c>
      <c r="P27" s="31">
        <v>6.8</v>
      </c>
      <c r="Q27" s="32" t="s">
        <v>105</v>
      </c>
      <c r="R27" s="33" t="s">
        <v>106</v>
      </c>
      <c r="S27" s="34">
        <v>7.17</v>
      </c>
      <c r="T27" s="32" t="s">
        <v>105</v>
      </c>
      <c r="U27" s="35" t="s">
        <v>106</v>
      </c>
      <c r="V27" s="31">
        <v>6.4</v>
      </c>
      <c r="W27" s="32" t="s">
        <v>105</v>
      </c>
      <c r="X27" s="33" t="s">
        <v>106</v>
      </c>
      <c r="Y27" s="34">
        <v>6.75</v>
      </c>
      <c r="Z27" s="32" t="s">
        <v>105</v>
      </c>
      <c r="AA27" s="35" t="s">
        <v>106</v>
      </c>
      <c r="AB27" s="31">
        <v>6.85</v>
      </c>
      <c r="AC27" s="32" t="s">
        <v>105</v>
      </c>
      <c r="AD27" s="33" t="s">
        <v>106</v>
      </c>
      <c r="AE27" s="34">
        <v>7.22</v>
      </c>
      <c r="AF27" s="32" t="s">
        <v>105</v>
      </c>
      <c r="AG27" s="35" t="s">
        <v>106</v>
      </c>
      <c r="AH27" s="31">
        <v>7.03</v>
      </c>
      <c r="AI27" s="32" t="s">
        <v>105</v>
      </c>
      <c r="AJ27" s="33" t="s">
        <v>106</v>
      </c>
      <c r="AK27" s="34">
        <v>7.41</v>
      </c>
      <c r="AL27" s="32" t="s">
        <v>105</v>
      </c>
      <c r="AM27" s="35" t="s">
        <v>106</v>
      </c>
    </row>
    <row r="28" spans="1:39" ht="19.899999999999999" customHeight="1" x14ac:dyDescent="0.2">
      <c r="A28" s="39" t="s">
        <v>109</v>
      </c>
      <c r="B28" s="22">
        <v>270</v>
      </c>
      <c r="C28" s="23">
        <v>150</v>
      </c>
      <c r="D28" s="24">
        <v>6.13</v>
      </c>
      <c r="E28" s="25" t="s">
        <v>105</v>
      </c>
      <c r="F28" s="26" t="s">
        <v>106</v>
      </c>
      <c r="G28" s="27">
        <v>6.46</v>
      </c>
      <c r="H28" s="25" t="s">
        <v>105</v>
      </c>
      <c r="I28" s="28" t="s">
        <v>106</v>
      </c>
      <c r="J28" s="24">
        <v>6.55</v>
      </c>
      <c r="K28" s="25" t="s">
        <v>105</v>
      </c>
      <c r="L28" s="26" t="s">
        <v>106</v>
      </c>
      <c r="M28" s="27">
        <v>6.91</v>
      </c>
      <c r="N28" s="25" t="s">
        <v>105</v>
      </c>
      <c r="O28" s="28" t="s">
        <v>106</v>
      </c>
      <c r="P28" s="24">
        <v>6.69</v>
      </c>
      <c r="Q28" s="25" t="s">
        <v>105</v>
      </c>
      <c r="R28" s="26" t="s">
        <v>106</v>
      </c>
      <c r="S28" s="27">
        <v>7.05</v>
      </c>
      <c r="T28" s="25" t="s">
        <v>105</v>
      </c>
      <c r="U28" s="28" t="s">
        <v>106</v>
      </c>
      <c r="V28" s="24">
        <v>6.29</v>
      </c>
      <c r="W28" s="25" t="s">
        <v>105</v>
      </c>
      <c r="X28" s="26" t="s">
        <v>106</v>
      </c>
      <c r="Y28" s="27">
        <v>6.63</v>
      </c>
      <c r="Z28" s="25" t="s">
        <v>105</v>
      </c>
      <c r="AA28" s="28" t="s">
        <v>106</v>
      </c>
      <c r="AB28" s="24">
        <v>6.73</v>
      </c>
      <c r="AC28" s="25" t="s">
        <v>105</v>
      </c>
      <c r="AD28" s="26" t="s">
        <v>106</v>
      </c>
      <c r="AE28" s="27">
        <v>7.1</v>
      </c>
      <c r="AF28" s="25" t="s">
        <v>105</v>
      </c>
      <c r="AG28" s="28" t="s">
        <v>106</v>
      </c>
      <c r="AH28" s="24">
        <v>6.91</v>
      </c>
      <c r="AI28" s="25" t="s">
        <v>105</v>
      </c>
      <c r="AJ28" s="26" t="s">
        <v>106</v>
      </c>
      <c r="AK28" s="27">
        <v>7.28</v>
      </c>
      <c r="AL28" s="25" t="s">
        <v>105</v>
      </c>
      <c r="AM28" s="28" t="s">
        <v>106</v>
      </c>
    </row>
    <row r="29" spans="1:39" ht="19.899999999999999" customHeight="1" x14ac:dyDescent="0.2">
      <c r="A29" s="39" t="s">
        <v>109</v>
      </c>
      <c r="B29" s="29">
        <v>70</v>
      </c>
      <c r="C29" s="30">
        <v>250</v>
      </c>
      <c r="D29" s="31">
        <v>6.55</v>
      </c>
      <c r="E29" s="32" t="s">
        <v>105</v>
      </c>
      <c r="F29" s="33" t="s">
        <v>106</v>
      </c>
      <c r="G29" s="34">
        <v>6.91</v>
      </c>
      <c r="H29" s="32" t="s">
        <v>105</v>
      </c>
      <c r="I29" s="35" t="s">
        <v>106</v>
      </c>
      <c r="J29" s="31">
        <v>6.95</v>
      </c>
      <c r="K29" s="32" t="s">
        <v>105</v>
      </c>
      <c r="L29" s="33" t="s">
        <v>106</v>
      </c>
      <c r="M29" s="34">
        <v>7.32</v>
      </c>
      <c r="N29" s="32" t="s">
        <v>105</v>
      </c>
      <c r="O29" s="35" t="s">
        <v>106</v>
      </c>
      <c r="P29" s="31">
        <v>7.08</v>
      </c>
      <c r="Q29" s="32" t="s">
        <v>105</v>
      </c>
      <c r="R29" s="33" t="s">
        <v>106</v>
      </c>
      <c r="S29" s="34">
        <v>7.46</v>
      </c>
      <c r="T29" s="32" t="s">
        <v>105</v>
      </c>
      <c r="U29" s="35" t="s">
        <v>106</v>
      </c>
      <c r="V29" s="31">
        <v>6.73</v>
      </c>
      <c r="W29" s="32" t="s">
        <v>105</v>
      </c>
      <c r="X29" s="33" t="s">
        <v>106</v>
      </c>
      <c r="Y29" s="34">
        <v>7.1</v>
      </c>
      <c r="Z29" s="32" t="s">
        <v>105</v>
      </c>
      <c r="AA29" s="35" t="s">
        <v>106</v>
      </c>
      <c r="AB29" s="31">
        <v>7.15</v>
      </c>
      <c r="AC29" s="32" t="s">
        <v>105</v>
      </c>
      <c r="AD29" s="33" t="s">
        <v>106</v>
      </c>
      <c r="AE29" s="34">
        <v>7.53</v>
      </c>
      <c r="AF29" s="32" t="s">
        <v>105</v>
      </c>
      <c r="AG29" s="35" t="s">
        <v>106</v>
      </c>
      <c r="AH29" s="31">
        <v>7.31</v>
      </c>
      <c r="AI29" s="32" t="s">
        <v>105</v>
      </c>
      <c r="AJ29" s="33" t="s">
        <v>106</v>
      </c>
      <c r="AK29" s="34">
        <v>7.65</v>
      </c>
      <c r="AL29" s="32" t="s">
        <v>105</v>
      </c>
      <c r="AM29" s="35" t="s">
        <v>107</v>
      </c>
    </row>
    <row r="30" spans="1:39" ht="19.899999999999999" customHeight="1" x14ac:dyDescent="0.2">
      <c r="A30" s="39" t="s">
        <v>109</v>
      </c>
      <c r="B30" s="22">
        <v>190</v>
      </c>
      <c r="C30" s="23">
        <v>250</v>
      </c>
      <c r="D30" s="24">
        <v>6.18</v>
      </c>
      <c r="E30" s="25" t="s">
        <v>105</v>
      </c>
      <c r="F30" s="26" t="s">
        <v>106</v>
      </c>
      <c r="G30" s="27">
        <v>6.51</v>
      </c>
      <c r="H30" s="25" t="s">
        <v>105</v>
      </c>
      <c r="I30" s="28" t="s">
        <v>106</v>
      </c>
      <c r="J30" s="24">
        <v>6.55</v>
      </c>
      <c r="K30" s="25" t="s">
        <v>105</v>
      </c>
      <c r="L30" s="26" t="s">
        <v>106</v>
      </c>
      <c r="M30" s="27">
        <v>6.91</v>
      </c>
      <c r="N30" s="25" t="s">
        <v>105</v>
      </c>
      <c r="O30" s="28" t="s">
        <v>106</v>
      </c>
      <c r="P30" s="24">
        <v>6.67</v>
      </c>
      <c r="Q30" s="25" t="s">
        <v>105</v>
      </c>
      <c r="R30" s="26" t="s">
        <v>106</v>
      </c>
      <c r="S30" s="27">
        <v>7.04</v>
      </c>
      <c r="T30" s="25" t="s">
        <v>105</v>
      </c>
      <c r="U30" s="28" t="s">
        <v>106</v>
      </c>
      <c r="V30" s="24">
        <v>6.33</v>
      </c>
      <c r="W30" s="25" t="s">
        <v>105</v>
      </c>
      <c r="X30" s="26" t="s">
        <v>106</v>
      </c>
      <c r="Y30" s="27">
        <v>6.67</v>
      </c>
      <c r="Z30" s="25" t="s">
        <v>105</v>
      </c>
      <c r="AA30" s="28" t="s">
        <v>106</v>
      </c>
      <c r="AB30" s="24">
        <v>6.71</v>
      </c>
      <c r="AC30" s="25" t="s">
        <v>105</v>
      </c>
      <c r="AD30" s="26" t="s">
        <v>106</v>
      </c>
      <c r="AE30" s="27">
        <v>7.08</v>
      </c>
      <c r="AF30" s="25" t="s">
        <v>105</v>
      </c>
      <c r="AG30" s="28" t="s">
        <v>106</v>
      </c>
      <c r="AH30" s="24">
        <v>6.87</v>
      </c>
      <c r="AI30" s="25" t="s">
        <v>105</v>
      </c>
      <c r="AJ30" s="26" t="s">
        <v>106</v>
      </c>
      <c r="AK30" s="27">
        <v>7.24</v>
      </c>
      <c r="AL30" s="25" t="s">
        <v>105</v>
      </c>
      <c r="AM30" s="28" t="s">
        <v>106</v>
      </c>
    </row>
    <row r="31" spans="1:39" ht="19.899999999999999" customHeight="1" x14ac:dyDescent="0.2">
      <c r="A31" s="39" t="s">
        <v>109</v>
      </c>
      <c r="B31" s="29">
        <v>240</v>
      </c>
      <c r="C31" s="30">
        <v>250</v>
      </c>
      <c r="D31" s="31">
        <v>6.04</v>
      </c>
      <c r="E31" s="32" t="s">
        <v>105</v>
      </c>
      <c r="F31" s="33" t="s">
        <v>106</v>
      </c>
      <c r="G31" s="34">
        <v>6.37</v>
      </c>
      <c r="H31" s="32" t="s">
        <v>105</v>
      </c>
      <c r="I31" s="35" t="s">
        <v>106</v>
      </c>
      <c r="J31" s="31">
        <v>6.4</v>
      </c>
      <c r="K31" s="32" t="s">
        <v>105</v>
      </c>
      <c r="L31" s="33" t="s">
        <v>106</v>
      </c>
      <c r="M31" s="34">
        <v>6.75</v>
      </c>
      <c r="N31" s="32" t="s">
        <v>105</v>
      </c>
      <c r="O31" s="35" t="s">
        <v>106</v>
      </c>
      <c r="P31" s="31">
        <v>6.53</v>
      </c>
      <c r="Q31" s="32" t="s">
        <v>105</v>
      </c>
      <c r="R31" s="33" t="s">
        <v>106</v>
      </c>
      <c r="S31" s="34">
        <v>6.88</v>
      </c>
      <c r="T31" s="32" t="s">
        <v>105</v>
      </c>
      <c r="U31" s="35" t="s">
        <v>106</v>
      </c>
      <c r="V31" s="31">
        <v>6.18</v>
      </c>
      <c r="W31" s="32" t="s">
        <v>105</v>
      </c>
      <c r="X31" s="33" t="s">
        <v>106</v>
      </c>
      <c r="Y31" s="34">
        <v>6.51</v>
      </c>
      <c r="Z31" s="32" t="s">
        <v>105</v>
      </c>
      <c r="AA31" s="35" t="s">
        <v>106</v>
      </c>
      <c r="AB31" s="31">
        <v>6.55</v>
      </c>
      <c r="AC31" s="32" t="s">
        <v>105</v>
      </c>
      <c r="AD31" s="33" t="s">
        <v>106</v>
      </c>
      <c r="AE31" s="34">
        <v>6.91</v>
      </c>
      <c r="AF31" s="32" t="s">
        <v>105</v>
      </c>
      <c r="AG31" s="35" t="s">
        <v>106</v>
      </c>
      <c r="AH31" s="31">
        <v>6.7</v>
      </c>
      <c r="AI31" s="32" t="s">
        <v>105</v>
      </c>
      <c r="AJ31" s="33" t="s">
        <v>106</v>
      </c>
      <c r="AK31" s="34">
        <v>7.07</v>
      </c>
      <c r="AL31" s="32" t="s">
        <v>105</v>
      </c>
      <c r="AM31" s="35" t="s">
        <v>106</v>
      </c>
    </row>
    <row r="32" spans="1:39" ht="19.899999999999999" customHeight="1" x14ac:dyDescent="0.2">
      <c r="A32" s="40" t="s">
        <v>109</v>
      </c>
      <c r="B32" s="41">
        <v>270</v>
      </c>
      <c r="C32" s="42">
        <v>250</v>
      </c>
      <c r="D32" s="43">
        <v>5.96</v>
      </c>
      <c r="E32" s="44" t="s">
        <v>105</v>
      </c>
      <c r="F32" s="45" t="s">
        <v>106</v>
      </c>
      <c r="G32" s="46">
        <v>6.29</v>
      </c>
      <c r="H32" s="44" t="s">
        <v>105</v>
      </c>
      <c r="I32" s="47" t="s">
        <v>106</v>
      </c>
      <c r="J32" s="43">
        <v>6.32</v>
      </c>
      <c r="K32" s="44" t="s">
        <v>105</v>
      </c>
      <c r="L32" s="45" t="s">
        <v>106</v>
      </c>
      <c r="M32" s="46">
        <v>6.66</v>
      </c>
      <c r="N32" s="44" t="s">
        <v>105</v>
      </c>
      <c r="O32" s="47" t="s">
        <v>106</v>
      </c>
      <c r="P32" s="43">
        <v>6.44</v>
      </c>
      <c r="Q32" s="44" t="s">
        <v>105</v>
      </c>
      <c r="R32" s="45" t="s">
        <v>106</v>
      </c>
      <c r="S32" s="46">
        <v>6.79</v>
      </c>
      <c r="T32" s="44" t="s">
        <v>105</v>
      </c>
      <c r="U32" s="47" t="s">
        <v>106</v>
      </c>
      <c r="V32" s="43">
        <v>6.09</v>
      </c>
      <c r="W32" s="44" t="s">
        <v>105</v>
      </c>
      <c r="X32" s="45" t="s">
        <v>106</v>
      </c>
      <c r="Y32" s="46">
        <v>6.42</v>
      </c>
      <c r="Z32" s="44" t="s">
        <v>105</v>
      </c>
      <c r="AA32" s="47" t="s">
        <v>106</v>
      </c>
      <c r="AB32" s="43">
        <v>6.46</v>
      </c>
      <c r="AC32" s="44" t="s">
        <v>105</v>
      </c>
      <c r="AD32" s="45" t="s">
        <v>106</v>
      </c>
      <c r="AE32" s="46">
        <v>6.81</v>
      </c>
      <c r="AF32" s="44" t="s">
        <v>105</v>
      </c>
      <c r="AG32" s="47" t="s">
        <v>106</v>
      </c>
      <c r="AH32" s="43">
        <v>6.61</v>
      </c>
      <c r="AI32" s="44" t="s">
        <v>105</v>
      </c>
      <c r="AJ32" s="45" t="s">
        <v>106</v>
      </c>
      <c r="AK32" s="46">
        <v>6.97</v>
      </c>
      <c r="AL32" s="44" t="s">
        <v>105</v>
      </c>
      <c r="AM32" s="47" t="s">
        <v>106</v>
      </c>
    </row>
    <row r="33" spans="1:39" ht="3" customHeight="1" x14ac:dyDescent="0.2">
      <c r="A33" s="1" t="e">
        <v>#REF!</v>
      </c>
      <c r="B33" s="36" t="e">
        <v>#REF!</v>
      </c>
      <c r="C33" s="36" t="e">
        <v>#REF!</v>
      </c>
      <c r="D33" s="37" t="e">
        <v>#REF!</v>
      </c>
      <c r="E33" s="36" t="e">
        <v>#REF!</v>
      </c>
      <c r="F33" s="36" t="e">
        <v>#REF!</v>
      </c>
      <c r="G33" s="36" t="e">
        <v>#REF!</v>
      </c>
      <c r="H33" s="36" t="e">
        <v>#REF!</v>
      </c>
      <c r="I33" s="36" t="e">
        <v>#REF!</v>
      </c>
      <c r="J33" s="37" t="e">
        <v>#REF!</v>
      </c>
      <c r="K33" s="36" t="e">
        <v>#REF!</v>
      </c>
      <c r="L33" s="36" t="e">
        <v>#REF!</v>
      </c>
      <c r="M33" s="36" t="e">
        <v>#REF!</v>
      </c>
      <c r="N33" s="36" t="e">
        <v>#REF!</v>
      </c>
      <c r="O33" s="36" t="e">
        <v>#REF!</v>
      </c>
      <c r="P33" s="37" t="e">
        <v>#REF!</v>
      </c>
      <c r="Q33" s="36" t="e">
        <v>#REF!</v>
      </c>
      <c r="R33" s="36" t="e">
        <v>#REF!</v>
      </c>
      <c r="S33" s="36" t="e">
        <v>#REF!</v>
      </c>
      <c r="T33" s="36" t="e">
        <v>#REF!</v>
      </c>
      <c r="U33" s="36" t="e">
        <v>#REF!</v>
      </c>
      <c r="V33" s="37" t="e">
        <v>#REF!</v>
      </c>
      <c r="W33" s="36" t="e">
        <v>#REF!</v>
      </c>
      <c r="X33" s="36" t="e">
        <v>#REF!</v>
      </c>
      <c r="Y33" s="36" t="e">
        <v>#REF!</v>
      </c>
      <c r="Z33" s="36" t="e">
        <v>#REF!</v>
      </c>
      <c r="AA33" s="36" t="e">
        <v>#REF!</v>
      </c>
      <c r="AB33" s="37" t="e">
        <v>#REF!</v>
      </c>
      <c r="AC33" s="36" t="e">
        <v>#REF!</v>
      </c>
      <c r="AD33" s="36" t="e">
        <v>#REF!</v>
      </c>
      <c r="AE33" s="36" t="e">
        <v>#REF!</v>
      </c>
      <c r="AF33" s="36" t="e">
        <v>#REF!</v>
      </c>
      <c r="AG33" s="36" t="e">
        <v>#REF!</v>
      </c>
      <c r="AH33" s="37" t="e">
        <v>#REF!</v>
      </c>
      <c r="AI33" s="36" t="e">
        <v>#REF!</v>
      </c>
      <c r="AJ33" s="36" t="e">
        <v>#REF!</v>
      </c>
      <c r="AK33" s="36" t="e">
        <v>#REF!</v>
      </c>
      <c r="AL33" s="36" t="e">
        <v>#REF!</v>
      </c>
      <c r="AM33" s="36" t="e">
        <v>#REF!</v>
      </c>
    </row>
    <row r="34" spans="1:39" ht="19.899999999999999" customHeight="1" x14ac:dyDescent="0.2">
      <c r="A34" s="38" t="s">
        <v>110</v>
      </c>
      <c r="B34" s="15">
        <v>70</v>
      </c>
      <c r="C34" s="16">
        <v>150</v>
      </c>
      <c r="D34" s="17">
        <v>6.71</v>
      </c>
      <c r="E34" s="18" t="s">
        <v>105</v>
      </c>
      <c r="F34" s="19" t="s">
        <v>106</v>
      </c>
      <c r="G34" s="20">
        <v>7.08</v>
      </c>
      <c r="H34" s="18" t="s">
        <v>105</v>
      </c>
      <c r="I34" s="21" t="s">
        <v>106</v>
      </c>
      <c r="J34" s="17">
        <v>7.17</v>
      </c>
      <c r="K34" s="18" t="s">
        <v>105</v>
      </c>
      <c r="L34" s="19" t="s">
        <v>106</v>
      </c>
      <c r="M34" s="20">
        <v>7.4</v>
      </c>
      <c r="N34" s="18" t="s">
        <v>105</v>
      </c>
      <c r="O34" s="21" t="s">
        <v>107</v>
      </c>
      <c r="P34" s="17">
        <v>7.33</v>
      </c>
      <c r="Q34" s="18" t="s">
        <v>105</v>
      </c>
      <c r="R34" s="19" t="s">
        <v>106</v>
      </c>
      <c r="S34" s="20">
        <v>7.37</v>
      </c>
      <c r="T34" s="18" t="s">
        <v>105</v>
      </c>
      <c r="U34" s="21" t="s">
        <v>107</v>
      </c>
      <c r="V34" s="17">
        <v>6.97</v>
      </c>
      <c r="W34" s="18" t="s">
        <v>105</v>
      </c>
      <c r="X34" s="19" t="s">
        <v>106</v>
      </c>
      <c r="Y34" s="20">
        <v>7.35</v>
      </c>
      <c r="Z34" s="18" t="s">
        <v>105</v>
      </c>
      <c r="AA34" s="21" t="s">
        <v>106</v>
      </c>
      <c r="AB34" s="17">
        <v>7.46</v>
      </c>
      <c r="AC34" s="18" t="s">
        <v>105</v>
      </c>
      <c r="AD34" s="19" t="s">
        <v>106</v>
      </c>
      <c r="AE34" s="20">
        <v>7.47</v>
      </c>
      <c r="AF34" s="18" t="s">
        <v>105</v>
      </c>
      <c r="AG34" s="21" t="s">
        <v>107</v>
      </c>
      <c r="AH34" s="17">
        <v>7.45</v>
      </c>
      <c r="AI34" s="18" t="s">
        <v>105</v>
      </c>
      <c r="AJ34" s="19" t="s">
        <v>107</v>
      </c>
      <c r="AK34" s="20">
        <v>7.45</v>
      </c>
      <c r="AL34" s="18" t="s">
        <v>105</v>
      </c>
      <c r="AM34" s="21" t="s">
        <v>107</v>
      </c>
    </row>
    <row r="35" spans="1:39" ht="19.899999999999999" customHeight="1" x14ac:dyDescent="0.2">
      <c r="A35" s="39" t="s">
        <v>110</v>
      </c>
      <c r="B35" s="22">
        <v>190</v>
      </c>
      <c r="C35" s="23">
        <v>150</v>
      </c>
      <c r="D35" s="24">
        <v>6.29</v>
      </c>
      <c r="E35" s="25" t="s">
        <v>105</v>
      </c>
      <c r="F35" s="26" t="s">
        <v>106</v>
      </c>
      <c r="G35" s="27">
        <v>6.63</v>
      </c>
      <c r="H35" s="25" t="s">
        <v>105</v>
      </c>
      <c r="I35" s="28" t="s">
        <v>106</v>
      </c>
      <c r="J35" s="24">
        <v>6.72</v>
      </c>
      <c r="K35" s="25" t="s">
        <v>105</v>
      </c>
      <c r="L35" s="26" t="s">
        <v>106</v>
      </c>
      <c r="M35" s="27">
        <v>7.09</v>
      </c>
      <c r="N35" s="25" t="s">
        <v>105</v>
      </c>
      <c r="O35" s="28" t="s">
        <v>106</v>
      </c>
      <c r="P35" s="24">
        <v>6.87</v>
      </c>
      <c r="Q35" s="25" t="s">
        <v>105</v>
      </c>
      <c r="R35" s="26" t="s">
        <v>106</v>
      </c>
      <c r="S35" s="27">
        <v>7.24</v>
      </c>
      <c r="T35" s="25" t="s">
        <v>105</v>
      </c>
      <c r="U35" s="28" t="s">
        <v>106</v>
      </c>
      <c r="V35" s="24">
        <v>6.49</v>
      </c>
      <c r="W35" s="25" t="s">
        <v>105</v>
      </c>
      <c r="X35" s="26" t="s">
        <v>106</v>
      </c>
      <c r="Y35" s="27">
        <v>6.84</v>
      </c>
      <c r="Z35" s="25" t="s">
        <v>105</v>
      </c>
      <c r="AA35" s="28" t="s">
        <v>106</v>
      </c>
      <c r="AB35" s="24">
        <v>6.95</v>
      </c>
      <c r="AC35" s="25" t="s">
        <v>105</v>
      </c>
      <c r="AD35" s="26" t="s">
        <v>106</v>
      </c>
      <c r="AE35" s="27">
        <v>7.32</v>
      </c>
      <c r="AF35" s="25" t="s">
        <v>105</v>
      </c>
      <c r="AG35" s="28" t="s">
        <v>106</v>
      </c>
      <c r="AH35" s="24">
        <v>7.13</v>
      </c>
      <c r="AI35" s="25" t="s">
        <v>105</v>
      </c>
      <c r="AJ35" s="26" t="s">
        <v>106</v>
      </c>
      <c r="AK35" s="27">
        <v>7.45</v>
      </c>
      <c r="AL35" s="25" t="s">
        <v>105</v>
      </c>
      <c r="AM35" s="28" t="s">
        <v>107</v>
      </c>
    </row>
    <row r="36" spans="1:39" ht="19.899999999999999" customHeight="1" x14ac:dyDescent="0.2">
      <c r="A36" s="39" t="s">
        <v>110</v>
      </c>
      <c r="B36" s="29">
        <v>240</v>
      </c>
      <c r="C36" s="30">
        <v>150</v>
      </c>
      <c r="D36" s="31">
        <v>6.14</v>
      </c>
      <c r="E36" s="32" t="s">
        <v>105</v>
      </c>
      <c r="F36" s="33" t="s">
        <v>106</v>
      </c>
      <c r="G36" s="34">
        <v>6.47</v>
      </c>
      <c r="H36" s="32" t="s">
        <v>105</v>
      </c>
      <c r="I36" s="35" t="s">
        <v>106</v>
      </c>
      <c r="J36" s="31">
        <v>6.56</v>
      </c>
      <c r="K36" s="32" t="s">
        <v>105</v>
      </c>
      <c r="L36" s="33" t="s">
        <v>106</v>
      </c>
      <c r="M36" s="34">
        <v>6.91</v>
      </c>
      <c r="N36" s="32" t="s">
        <v>105</v>
      </c>
      <c r="O36" s="35" t="s">
        <v>106</v>
      </c>
      <c r="P36" s="31">
        <v>6.7</v>
      </c>
      <c r="Q36" s="32" t="s">
        <v>105</v>
      </c>
      <c r="R36" s="33" t="s">
        <v>106</v>
      </c>
      <c r="S36" s="34">
        <v>7.06</v>
      </c>
      <c r="T36" s="32" t="s">
        <v>105</v>
      </c>
      <c r="U36" s="35" t="s">
        <v>106</v>
      </c>
      <c r="V36" s="31">
        <v>6.32</v>
      </c>
      <c r="W36" s="32" t="s">
        <v>105</v>
      </c>
      <c r="X36" s="33" t="s">
        <v>106</v>
      </c>
      <c r="Y36" s="34">
        <v>6.66</v>
      </c>
      <c r="Z36" s="32" t="s">
        <v>105</v>
      </c>
      <c r="AA36" s="35" t="s">
        <v>106</v>
      </c>
      <c r="AB36" s="31">
        <v>6.76</v>
      </c>
      <c r="AC36" s="32" t="s">
        <v>105</v>
      </c>
      <c r="AD36" s="33" t="s">
        <v>106</v>
      </c>
      <c r="AE36" s="34">
        <v>7.13</v>
      </c>
      <c r="AF36" s="32" t="s">
        <v>105</v>
      </c>
      <c r="AG36" s="35" t="s">
        <v>106</v>
      </c>
      <c r="AH36" s="31">
        <v>6.94</v>
      </c>
      <c r="AI36" s="32" t="s">
        <v>105</v>
      </c>
      <c r="AJ36" s="33" t="s">
        <v>106</v>
      </c>
      <c r="AK36" s="34">
        <v>7.32</v>
      </c>
      <c r="AL36" s="32" t="s">
        <v>105</v>
      </c>
      <c r="AM36" s="35" t="s">
        <v>106</v>
      </c>
    </row>
    <row r="37" spans="1:39" ht="19.899999999999999" customHeight="1" x14ac:dyDescent="0.2">
      <c r="A37" s="39" t="s">
        <v>110</v>
      </c>
      <c r="B37" s="22">
        <v>270</v>
      </c>
      <c r="C37" s="23">
        <v>150</v>
      </c>
      <c r="D37" s="24">
        <v>6.05</v>
      </c>
      <c r="E37" s="25" t="s">
        <v>105</v>
      </c>
      <c r="F37" s="26" t="s">
        <v>106</v>
      </c>
      <c r="G37" s="27">
        <v>6.38</v>
      </c>
      <c r="H37" s="25" t="s">
        <v>105</v>
      </c>
      <c r="I37" s="28" t="s">
        <v>106</v>
      </c>
      <c r="J37" s="24">
        <v>6.47</v>
      </c>
      <c r="K37" s="25" t="s">
        <v>105</v>
      </c>
      <c r="L37" s="26" t="s">
        <v>106</v>
      </c>
      <c r="M37" s="27">
        <v>6.82</v>
      </c>
      <c r="N37" s="25" t="s">
        <v>105</v>
      </c>
      <c r="O37" s="28" t="s">
        <v>106</v>
      </c>
      <c r="P37" s="24">
        <v>6.6</v>
      </c>
      <c r="Q37" s="25" t="s">
        <v>105</v>
      </c>
      <c r="R37" s="26" t="s">
        <v>106</v>
      </c>
      <c r="S37" s="27">
        <v>6.96</v>
      </c>
      <c r="T37" s="25" t="s">
        <v>105</v>
      </c>
      <c r="U37" s="28" t="s">
        <v>106</v>
      </c>
      <c r="V37" s="24">
        <v>6.22</v>
      </c>
      <c r="W37" s="25" t="s">
        <v>105</v>
      </c>
      <c r="X37" s="26" t="s">
        <v>106</v>
      </c>
      <c r="Y37" s="27">
        <v>6.56</v>
      </c>
      <c r="Z37" s="25" t="s">
        <v>105</v>
      </c>
      <c r="AA37" s="28" t="s">
        <v>106</v>
      </c>
      <c r="AB37" s="24">
        <v>6.66</v>
      </c>
      <c r="AC37" s="25" t="s">
        <v>105</v>
      </c>
      <c r="AD37" s="26" t="s">
        <v>106</v>
      </c>
      <c r="AE37" s="27">
        <v>7.02</v>
      </c>
      <c r="AF37" s="25" t="s">
        <v>105</v>
      </c>
      <c r="AG37" s="28" t="s">
        <v>106</v>
      </c>
      <c r="AH37" s="24">
        <v>6.83</v>
      </c>
      <c r="AI37" s="25" t="s">
        <v>105</v>
      </c>
      <c r="AJ37" s="26" t="s">
        <v>106</v>
      </c>
      <c r="AK37" s="27">
        <v>7.2</v>
      </c>
      <c r="AL37" s="25" t="s">
        <v>105</v>
      </c>
      <c r="AM37" s="28" t="s">
        <v>106</v>
      </c>
    </row>
    <row r="38" spans="1:39" ht="19.899999999999999" customHeight="1" x14ac:dyDescent="0.2">
      <c r="A38" s="39" t="s">
        <v>110</v>
      </c>
      <c r="B38" s="29">
        <v>70</v>
      </c>
      <c r="C38" s="30">
        <v>250</v>
      </c>
      <c r="D38" s="31">
        <v>6.47</v>
      </c>
      <c r="E38" s="32" t="s">
        <v>105</v>
      </c>
      <c r="F38" s="33" t="s">
        <v>106</v>
      </c>
      <c r="G38" s="34">
        <v>6.82</v>
      </c>
      <c r="H38" s="32" t="s">
        <v>105</v>
      </c>
      <c r="I38" s="35" t="s">
        <v>106</v>
      </c>
      <c r="J38" s="31">
        <v>6.86</v>
      </c>
      <c r="K38" s="32" t="s">
        <v>105</v>
      </c>
      <c r="L38" s="33" t="s">
        <v>106</v>
      </c>
      <c r="M38" s="34">
        <v>7.23</v>
      </c>
      <c r="N38" s="32" t="s">
        <v>105</v>
      </c>
      <c r="O38" s="35" t="s">
        <v>106</v>
      </c>
      <c r="P38" s="31">
        <v>6.99</v>
      </c>
      <c r="Q38" s="32" t="s">
        <v>105</v>
      </c>
      <c r="R38" s="33" t="s">
        <v>106</v>
      </c>
      <c r="S38" s="34">
        <v>7.37</v>
      </c>
      <c r="T38" s="32" t="s">
        <v>105</v>
      </c>
      <c r="U38" s="35" t="s">
        <v>106</v>
      </c>
      <c r="V38" s="31">
        <v>6.66</v>
      </c>
      <c r="W38" s="32" t="s">
        <v>105</v>
      </c>
      <c r="X38" s="33" t="s">
        <v>106</v>
      </c>
      <c r="Y38" s="34">
        <v>7.02</v>
      </c>
      <c r="Z38" s="32" t="s">
        <v>105</v>
      </c>
      <c r="AA38" s="35" t="s">
        <v>106</v>
      </c>
      <c r="AB38" s="31">
        <v>7.07</v>
      </c>
      <c r="AC38" s="32" t="s">
        <v>105</v>
      </c>
      <c r="AD38" s="33" t="s">
        <v>106</v>
      </c>
      <c r="AE38" s="34">
        <v>7.45</v>
      </c>
      <c r="AF38" s="32" t="s">
        <v>105</v>
      </c>
      <c r="AG38" s="35" t="s">
        <v>106</v>
      </c>
      <c r="AH38" s="31">
        <v>7.23</v>
      </c>
      <c r="AI38" s="32" t="s">
        <v>105</v>
      </c>
      <c r="AJ38" s="33" t="s">
        <v>106</v>
      </c>
      <c r="AK38" s="34">
        <v>7.45</v>
      </c>
      <c r="AL38" s="32" t="s">
        <v>105</v>
      </c>
      <c r="AM38" s="35" t="s">
        <v>107</v>
      </c>
    </row>
    <row r="39" spans="1:39" ht="19.899999999999999" customHeight="1" x14ac:dyDescent="0.2">
      <c r="A39" s="39" t="s">
        <v>110</v>
      </c>
      <c r="B39" s="22">
        <v>190</v>
      </c>
      <c r="C39" s="23">
        <v>250</v>
      </c>
      <c r="D39" s="24">
        <v>6.13</v>
      </c>
      <c r="E39" s="25" t="s">
        <v>105</v>
      </c>
      <c r="F39" s="26" t="s">
        <v>106</v>
      </c>
      <c r="G39" s="27">
        <v>6.47</v>
      </c>
      <c r="H39" s="25" t="s">
        <v>105</v>
      </c>
      <c r="I39" s="28" t="s">
        <v>106</v>
      </c>
      <c r="J39" s="24">
        <v>6.5</v>
      </c>
      <c r="K39" s="25" t="s">
        <v>105</v>
      </c>
      <c r="L39" s="26" t="s">
        <v>106</v>
      </c>
      <c r="M39" s="27">
        <v>6.86</v>
      </c>
      <c r="N39" s="25" t="s">
        <v>105</v>
      </c>
      <c r="O39" s="28" t="s">
        <v>106</v>
      </c>
      <c r="P39" s="24">
        <v>6.63</v>
      </c>
      <c r="Q39" s="25" t="s">
        <v>105</v>
      </c>
      <c r="R39" s="26" t="s">
        <v>106</v>
      </c>
      <c r="S39" s="27">
        <v>6.99</v>
      </c>
      <c r="T39" s="25" t="s">
        <v>105</v>
      </c>
      <c r="U39" s="28" t="s">
        <v>106</v>
      </c>
      <c r="V39" s="24">
        <v>6.29</v>
      </c>
      <c r="W39" s="25" t="s">
        <v>105</v>
      </c>
      <c r="X39" s="26" t="s">
        <v>106</v>
      </c>
      <c r="Y39" s="27">
        <v>6.64</v>
      </c>
      <c r="Z39" s="25" t="s">
        <v>105</v>
      </c>
      <c r="AA39" s="28" t="s">
        <v>106</v>
      </c>
      <c r="AB39" s="24">
        <v>6.68</v>
      </c>
      <c r="AC39" s="25" t="s">
        <v>105</v>
      </c>
      <c r="AD39" s="26" t="s">
        <v>106</v>
      </c>
      <c r="AE39" s="27">
        <v>7.04</v>
      </c>
      <c r="AF39" s="25" t="s">
        <v>105</v>
      </c>
      <c r="AG39" s="28" t="s">
        <v>106</v>
      </c>
      <c r="AH39" s="24">
        <v>6.83</v>
      </c>
      <c r="AI39" s="25" t="s">
        <v>105</v>
      </c>
      <c r="AJ39" s="26" t="s">
        <v>106</v>
      </c>
      <c r="AK39" s="27">
        <v>7.2</v>
      </c>
      <c r="AL39" s="25" t="s">
        <v>105</v>
      </c>
      <c r="AM39" s="28" t="s">
        <v>106</v>
      </c>
    </row>
    <row r="40" spans="1:39" ht="19.899999999999999" customHeight="1" x14ac:dyDescent="0.2">
      <c r="A40" s="39" t="s">
        <v>110</v>
      </c>
      <c r="B40" s="29">
        <v>240</v>
      </c>
      <c r="C40" s="30">
        <v>250</v>
      </c>
      <c r="D40" s="31">
        <v>6.01</v>
      </c>
      <c r="E40" s="32" t="s">
        <v>105</v>
      </c>
      <c r="F40" s="33" t="s">
        <v>106</v>
      </c>
      <c r="G40" s="34">
        <v>6.33</v>
      </c>
      <c r="H40" s="32" t="s">
        <v>105</v>
      </c>
      <c r="I40" s="35" t="s">
        <v>106</v>
      </c>
      <c r="J40" s="31">
        <v>6.37</v>
      </c>
      <c r="K40" s="32" t="s">
        <v>105</v>
      </c>
      <c r="L40" s="33" t="s">
        <v>106</v>
      </c>
      <c r="M40" s="34">
        <v>6.72</v>
      </c>
      <c r="N40" s="32" t="s">
        <v>105</v>
      </c>
      <c r="O40" s="35" t="s">
        <v>106</v>
      </c>
      <c r="P40" s="31">
        <v>6.49</v>
      </c>
      <c r="Q40" s="32" t="s">
        <v>105</v>
      </c>
      <c r="R40" s="33" t="s">
        <v>106</v>
      </c>
      <c r="S40" s="34">
        <v>6.84</v>
      </c>
      <c r="T40" s="32" t="s">
        <v>105</v>
      </c>
      <c r="U40" s="35" t="s">
        <v>106</v>
      </c>
      <c r="V40" s="31">
        <v>6.16</v>
      </c>
      <c r="W40" s="32" t="s">
        <v>105</v>
      </c>
      <c r="X40" s="33" t="s">
        <v>106</v>
      </c>
      <c r="Y40" s="34">
        <v>6.49</v>
      </c>
      <c r="Z40" s="32" t="s">
        <v>105</v>
      </c>
      <c r="AA40" s="35" t="s">
        <v>106</v>
      </c>
      <c r="AB40" s="31">
        <v>6.53</v>
      </c>
      <c r="AC40" s="32" t="s">
        <v>105</v>
      </c>
      <c r="AD40" s="33" t="s">
        <v>106</v>
      </c>
      <c r="AE40" s="34">
        <v>6.89</v>
      </c>
      <c r="AF40" s="32" t="s">
        <v>105</v>
      </c>
      <c r="AG40" s="35" t="s">
        <v>106</v>
      </c>
      <c r="AH40" s="31">
        <v>6.68</v>
      </c>
      <c r="AI40" s="32" t="s">
        <v>105</v>
      </c>
      <c r="AJ40" s="33" t="s">
        <v>106</v>
      </c>
      <c r="AK40" s="34">
        <v>7.05</v>
      </c>
      <c r="AL40" s="32" t="s">
        <v>105</v>
      </c>
      <c r="AM40" s="35" t="s">
        <v>106</v>
      </c>
    </row>
    <row r="41" spans="1:39" ht="19.899999999999999" customHeight="1" x14ac:dyDescent="0.2">
      <c r="A41" s="40" t="s">
        <v>110</v>
      </c>
      <c r="B41" s="41">
        <v>270</v>
      </c>
      <c r="C41" s="42">
        <v>250</v>
      </c>
      <c r="D41" s="43">
        <v>5.94</v>
      </c>
      <c r="E41" s="44" t="s">
        <v>105</v>
      </c>
      <c r="F41" s="45" t="s">
        <v>106</v>
      </c>
      <c r="G41" s="46">
        <v>6.26</v>
      </c>
      <c r="H41" s="44" t="s">
        <v>105</v>
      </c>
      <c r="I41" s="47" t="s">
        <v>106</v>
      </c>
      <c r="J41" s="43">
        <v>6.3</v>
      </c>
      <c r="K41" s="44" t="s">
        <v>105</v>
      </c>
      <c r="L41" s="45" t="s">
        <v>106</v>
      </c>
      <c r="M41" s="46">
        <v>6.64</v>
      </c>
      <c r="N41" s="44" t="s">
        <v>105</v>
      </c>
      <c r="O41" s="47" t="s">
        <v>106</v>
      </c>
      <c r="P41" s="43">
        <v>6.41</v>
      </c>
      <c r="Q41" s="44" t="s">
        <v>105</v>
      </c>
      <c r="R41" s="45" t="s">
        <v>106</v>
      </c>
      <c r="S41" s="46">
        <v>6.76</v>
      </c>
      <c r="T41" s="44" t="s">
        <v>105</v>
      </c>
      <c r="U41" s="47" t="s">
        <v>106</v>
      </c>
      <c r="V41" s="43">
        <v>6.08</v>
      </c>
      <c r="W41" s="44" t="s">
        <v>105</v>
      </c>
      <c r="X41" s="45" t="s">
        <v>106</v>
      </c>
      <c r="Y41" s="46">
        <v>6.41</v>
      </c>
      <c r="Z41" s="44" t="s">
        <v>105</v>
      </c>
      <c r="AA41" s="47" t="s">
        <v>106</v>
      </c>
      <c r="AB41" s="43">
        <v>6.45</v>
      </c>
      <c r="AC41" s="44" t="s">
        <v>105</v>
      </c>
      <c r="AD41" s="45" t="s">
        <v>106</v>
      </c>
      <c r="AE41" s="46">
        <v>6.8</v>
      </c>
      <c r="AF41" s="44" t="s">
        <v>105</v>
      </c>
      <c r="AG41" s="47" t="s">
        <v>106</v>
      </c>
      <c r="AH41" s="43">
        <v>6.6</v>
      </c>
      <c r="AI41" s="44" t="s">
        <v>105</v>
      </c>
      <c r="AJ41" s="45" t="s">
        <v>106</v>
      </c>
      <c r="AK41" s="46">
        <v>6.96</v>
      </c>
      <c r="AL41" s="44" t="s">
        <v>105</v>
      </c>
      <c r="AM41" s="47" t="s">
        <v>106</v>
      </c>
    </row>
    <row r="42" spans="1:39" ht="15" x14ac:dyDescent="0.2">
      <c r="A42" s="1" t="e">
        <v>#REF!</v>
      </c>
      <c r="B42" s="36" t="e">
        <v>#REF!</v>
      </c>
      <c r="C42" s="36" t="e">
        <v>#REF!</v>
      </c>
      <c r="D42" s="37" t="e">
        <v>#REF!</v>
      </c>
      <c r="E42" s="36" t="e">
        <v>#REF!</v>
      </c>
      <c r="F42" s="36" t="e">
        <v>#REF!</v>
      </c>
      <c r="G42" s="36" t="e">
        <v>#REF!</v>
      </c>
      <c r="H42" s="36" t="e">
        <v>#REF!</v>
      </c>
      <c r="I42" s="36" t="e">
        <v>#REF!</v>
      </c>
      <c r="J42" s="37" t="e">
        <v>#REF!</v>
      </c>
      <c r="K42" s="36" t="e">
        <v>#REF!</v>
      </c>
      <c r="L42" s="36" t="e">
        <v>#REF!</v>
      </c>
      <c r="M42" s="36" t="e">
        <v>#REF!</v>
      </c>
      <c r="N42" s="36" t="e">
        <v>#REF!</v>
      </c>
      <c r="O42" s="36" t="e">
        <v>#REF!</v>
      </c>
      <c r="P42" s="37" t="e">
        <v>#REF!</v>
      </c>
      <c r="Q42" s="36" t="e">
        <v>#REF!</v>
      </c>
      <c r="R42" s="36" t="e">
        <v>#REF!</v>
      </c>
      <c r="S42" s="36" t="e">
        <v>#REF!</v>
      </c>
      <c r="T42" s="36" t="e">
        <v>#REF!</v>
      </c>
      <c r="U42" s="36" t="e">
        <v>#REF!</v>
      </c>
      <c r="V42" s="37" t="e">
        <v>#REF!</v>
      </c>
      <c r="W42" s="36" t="e">
        <v>#REF!</v>
      </c>
      <c r="X42" s="36" t="e">
        <v>#REF!</v>
      </c>
      <c r="Y42" s="36" t="e">
        <v>#REF!</v>
      </c>
      <c r="Z42" s="36" t="e">
        <v>#REF!</v>
      </c>
      <c r="AA42" s="36" t="e">
        <v>#REF!</v>
      </c>
      <c r="AB42" s="37" t="e">
        <v>#REF!</v>
      </c>
      <c r="AC42" s="36" t="e">
        <v>#REF!</v>
      </c>
      <c r="AD42" s="36" t="e">
        <v>#REF!</v>
      </c>
      <c r="AE42" s="36" t="e">
        <v>#REF!</v>
      </c>
      <c r="AF42" s="36" t="e">
        <v>#REF!</v>
      </c>
      <c r="AG42" s="36" t="e">
        <v>#REF!</v>
      </c>
      <c r="AH42" s="37" t="e">
        <v>#REF!</v>
      </c>
      <c r="AI42" s="36" t="e">
        <v>#REF!</v>
      </c>
      <c r="AJ42" s="36" t="e">
        <v>#REF!</v>
      </c>
      <c r="AK42" s="36" t="e">
        <v>#REF!</v>
      </c>
      <c r="AL42" s="36" t="e">
        <v>#REF!</v>
      </c>
      <c r="AM42" s="36" t="e">
        <v>#REF!</v>
      </c>
    </row>
    <row r="44" spans="1:39" x14ac:dyDescent="0.2">
      <c r="A44" s="11" t="s">
        <v>7</v>
      </c>
      <c r="B44" s="12"/>
      <c r="C44" s="13"/>
      <c r="D44" s="14"/>
      <c r="E44" s="14"/>
      <c r="F44" s="12"/>
    </row>
    <row r="45" spans="1:39" x14ac:dyDescent="0.2">
      <c r="A45" s="11" t="s">
        <v>8</v>
      </c>
      <c r="B45" s="12"/>
      <c r="C45" s="13"/>
      <c r="D45" s="14"/>
      <c r="E45" s="14"/>
      <c r="F45" s="12"/>
    </row>
    <row r="46" spans="1:39" x14ac:dyDescent="0.2">
      <c r="A46" s="11" t="s">
        <v>9</v>
      </c>
      <c r="B46" s="12"/>
      <c r="C46" s="13"/>
      <c r="D46" s="14"/>
      <c r="E46" s="14"/>
      <c r="F46" s="12"/>
    </row>
  </sheetData>
  <mergeCells count="26">
    <mergeCell ref="A3:A5"/>
    <mergeCell ref="B3:C3"/>
    <mergeCell ref="D3:I3"/>
    <mergeCell ref="J3:O3"/>
    <mergeCell ref="P3:U3"/>
    <mergeCell ref="D5:F5"/>
    <mergeCell ref="G5:I5"/>
    <mergeCell ref="J5:L5"/>
    <mergeCell ref="M5:O5"/>
    <mergeCell ref="AB3:AG3"/>
    <mergeCell ref="AH3:AM3"/>
    <mergeCell ref="D4:I4"/>
    <mergeCell ref="J4:O4"/>
    <mergeCell ref="P4:U4"/>
    <mergeCell ref="V4:AA4"/>
    <mergeCell ref="AB4:AG4"/>
    <mergeCell ref="AH4:AM4"/>
    <mergeCell ref="V3:AA3"/>
    <mergeCell ref="AH5:AJ5"/>
    <mergeCell ref="AK5:AM5"/>
    <mergeCell ref="P5:R5"/>
    <mergeCell ref="S5:U5"/>
    <mergeCell ref="V5:X5"/>
    <mergeCell ref="Y5:AA5"/>
    <mergeCell ref="AB5:AD5"/>
    <mergeCell ref="AE5:AG5"/>
  </mergeCells>
  <printOptions horizontalCentered="1"/>
  <pageMargins left="0.25" right="0.25" top="0.75" bottom="0.75" header="0.3" footer="0.3"/>
  <pageSetup paperSize="8" fitToHeight="0" orientation="landscape" verticalDpi="300" r:id="rId1"/>
  <headerFooter alignWithMargins="0">
    <oddFooter>&amp;L&amp;"MS Sans Serif,Gras"SEAC - Confidentiel&amp;C&amp;D - &amp;T&amp;RPage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5E59-A33A-4B4C-BDBF-49AEAD745C7A}">
  <dimension ref="A1"/>
  <sheetViews>
    <sheetView showGridLines="0" showRowColHeaders="0" zoomScaleNormal="100" workbookViewId="0">
      <selection activeCell="M13" sqref="M13"/>
    </sheetView>
  </sheetViews>
  <sheetFormatPr baseColWidth="10" defaultRowHeight="12.75" x14ac:dyDescent="0.2"/>
  <cols>
    <col min="1" max="16384" width="11.42578125" style="117"/>
  </cols>
  <sheetData/>
  <sheetProtection algorithmName="SHA-512" hashValue="CGPEyfcHo0s1Hb5zd91Mv13O0RJlOsunayL0l+wjkO37oAP6CSpYNEbNbeJ6F4cnxx/b6YbY+l1ziLeGqsLx/w==" saltValue="UHtvakjTa+WYo+xg0WYn0g==" spinCount="100000"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2509B-59FD-4793-8287-621EA8DF4146}">
  <dimension ref="B4:I18"/>
  <sheetViews>
    <sheetView showGridLines="0" showRowColHeaders="0" zoomScale="89" zoomScaleNormal="89" workbookViewId="0">
      <selection activeCell="H19" sqref="H19"/>
    </sheetView>
  </sheetViews>
  <sheetFormatPr baseColWidth="10" defaultRowHeight="12.75" x14ac:dyDescent="0.2"/>
  <cols>
    <col min="1" max="16384" width="11.42578125" style="97"/>
  </cols>
  <sheetData>
    <row r="4" spans="5:9" ht="41.25" x14ac:dyDescent="0.8">
      <c r="I4" s="101" t="s">
        <v>154</v>
      </c>
    </row>
    <row r="7" spans="5:9" ht="15.75" x14ac:dyDescent="0.25">
      <c r="E7" s="98" t="s">
        <v>159</v>
      </c>
      <c r="F7" s="99"/>
    </row>
    <row r="8" spans="5:9" ht="15.75" x14ac:dyDescent="0.25">
      <c r="E8" s="98" t="s">
        <v>160</v>
      </c>
      <c r="H8" s="100" t="s">
        <v>155</v>
      </c>
    </row>
    <row r="9" spans="5:9" ht="15.75" x14ac:dyDescent="0.25">
      <c r="E9" s="98"/>
      <c r="F9" s="100"/>
      <c r="H9" s="100" t="s">
        <v>156</v>
      </c>
    </row>
    <row r="10" spans="5:9" x14ac:dyDescent="0.2">
      <c r="H10" s="100" t="s">
        <v>157</v>
      </c>
    </row>
    <row r="11" spans="5:9" x14ac:dyDescent="0.2">
      <c r="H11" s="100" t="s">
        <v>161</v>
      </c>
    </row>
    <row r="12" spans="5:9" x14ac:dyDescent="0.2">
      <c r="H12" s="100" t="s">
        <v>158</v>
      </c>
    </row>
    <row r="14" spans="5:9" ht="15.75" x14ac:dyDescent="0.25">
      <c r="E14" s="98" t="s">
        <v>162</v>
      </c>
    </row>
    <row r="18" spans="2:2" x14ac:dyDescent="0.2">
      <c r="B18" s="100"/>
    </row>
  </sheetData>
  <sheetProtection algorithmName="SHA-512" hashValue="cuPAxDHyqS2hWNcnOjO/TKqnULFa5MM1yiSFczPdkRXRHFHb/upDqloRDy4lKdcIUefOjPpLIRMX3RATlyTZTQ==" saltValue="9nUYmRtthNvb9dAiF/2mtg==" spinCount="100000" sheet="1" objects="1" scenarios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E2EA0-CBCF-4949-B17F-57BD1E8975CF}">
  <dimension ref="E4:BM64"/>
  <sheetViews>
    <sheetView showRowColHeaders="0" zoomScaleNormal="100" workbookViewId="0">
      <selection activeCell="I78" sqref="I78"/>
    </sheetView>
  </sheetViews>
  <sheetFormatPr baseColWidth="10" defaultRowHeight="12.75" x14ac:dyDescent="0.2"/>
  <cols>
    <col min="1" max="7" width="11.42578125" style="102"/>
    <col min="8" max="15" width="7.7109375" style="102" customWidth="1"/>
    <col min="16" max="17" width="11.42578125" style="102"/>
    <col min="18" max="25" width="7.7109375" style="102" customWidth="1"/>
    <col min="26" max="27" width="11.42578125" style="102"/>
    <col min="28" max="35" width="7.7109375" style="102" customWidth="1"/>
    <col min="36" max="37" width="11.42578125" style="102"/>
    <col min="38" max="45" width="7.7109375" style="102" customWidth="1"/>
    <col min="46" max="47" width="11.42578125" style="102"/>
    <col min="48" max="55" width="7.7109375" style="102" customWidth="1"/>
    <col min="56" max="57" width="11.42578125" style="102"/>
    <col min="58" max="65" width="7.7109375" style="102" customWidth="1"/>
    <col min="66" max="16384" width="11.42578125" style="102"/>
  </cols>
  <sheetData>
    <row r="4" spans="7:65" hidden="1" x14ac:dyDescent="0.2"/>
    <row r="5" spans="7:65" hidden="1" x14ac:dyDescent="0.2">
      <c r="K5" s="103"/>
    </row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">
      <c r="K10" s="104">
        <v>12</v>
      </c>
      <c r="T10" s="104">
        <v>12</v>
      </c>
      <c r="AD10" s="104">
        <v>15</v>
      </c>
      <c r="AN10" s="104">
        <v>15</v>
      </c>
      <c r="AX10" s="104">
        <v>20</v>
      </c>
      <c r="BH10" s="104">
        <v>20</v>
      </c>
    </row>
    <row r="11" spans="7:65" hidden="1" x14ac:dyDescent="0.2">
      <c r="K11" s="103" t="s">
        <v>78</v>
      </c>
      <c r="T11" s="103" t="s">
        <v>79</v>
      </c>
      <c r="AD11" s="103" t="s">
        <v>78</v>
      </c>
      <c r="AN11" s="103" t="s">
        <v>79</v>
      </c>
      <c r="AX11" s="103" t="s">
        <v>78</v>
      </c>
      <c r="BH11" s="103" t="s">
        <v>79</v>
      </c>
    </row>
    <row r="12" spans="7:65" hidden="1" x14ac:dyDescent="0.2">
      <c r="H12" s="102">
        <v>137</v>
      </c>
      <c r="J12" s="102">
        <v>137</v>
      </c>
      <c r="K12" s="103"/>
      <c r="L12" s="102">
        <v>137</v>
      </c>
      <c r="N12" s="102">
        <v>137</v>
      </c>
      <c r="R12" s="102">
        <v>937</v>
      </c>
      <c r="AB12" s="102">
        <v>158</v>
      </c>
      <c r="AD12" s="102">
        <v>179</v>
      </c>
      <c r="AF12" s="102">
        <v>189</v>
      </c>
      <c r="AH12" s="102">
        <v>189</v>
      </c>
      <c r="AL12" s="102" t="s">
        <v>69</v>
      </c>
      <c r="AN12" s="102">
        <v>179</v>
      </c>
      <c r="AP12" s="102">
        <v>189</v>
      </c>
      <c r="AV12" s="102">
        <v>189</v>
      </c>
      <c r="AX12" s="102">
        <v>189</v>
      </c>
      <c r="AZ12" s="102">
        <v>189</v>
      </c>
      <c r="BB12" s="102">
        <v>189</v>
      </c>
      <c r="BF12" s="102">
        <v>189</v>
      </c>
      <c r="BH12" s="102">
        <v>189</v>
      </c>
      <c r="BJ12" s="102">
        <v>189</v>
      </c>
      <c r="BL12" s="102">
        <v>189</v>
      </c>
    </row>
    <row r="13" spans="7:65" hidden="1" x14ac:dyDescent="0.2">
      <c r="H13" s="140" t="s">
        <v>112</v>
      </c>
      <c r="I13" s="140"/>
      <c r="J13" s="140" t="s">
        <v>113</v>
      </c>
      <c r="K13" s="140"/>
      <c r="L13" s="140" t="s">
        <v>114</v>
      </c>
      <c r="M13" s="140"/>
      <c r="N13" s="140" t="s">
        <v>115</v>
      </c>
      <c r="O13" s="140"/>
      <c r="R13" s="140" t="s">
        <v>112</v>
      </c>
      <c r="S13" s="140"/>
      <c r="T13" s="140" t="s">
        <v>113</v>
      </c>
      <c r="U13" s="140"/>
      <c r="V13" s="140" t="s">
        <v>114</v>
      </c>
      <c r="W13" s="140"/>
      <c r="X13" s="140" t="s">
        <v>115</v>
      </c>
      <c r="Y13" s="140"/>
      <c r="AB13" s="140" t="s">
        <v>116</v>
      </c>
      <c r="AC13" s="140"/>
      <c r="AD13" s="140" t="s">
        <v>117</v>
      </c>
      <c r="AE13" s="140"/>
      <c r="AF13" s="140" t="s">
        <v>118</v>
      </c>
      <c r="AG13" s="140"/>
      <c r="AH13" s="140" t="s">
        <v>119</v>
      </c>
      <c r="AI13" s="140"/>
      <c r="AL13" s="140" t="s">
        <v>116</v>
      </c>
      <c r="AM13" s="140"/>
      <c r="AN13" s="140" t="s">
        <v>117</v>
      </c>
      <c r="AO13" s="140"/>
      <c r="AP13" s="140" t="s">
        <v>118</v>
      </c>
      <c r="AQ13" s="140"/>
      <c r="AR13" s="140" t="s">
        <v>119</v>
      </c>
      <c r="AS13" s="140"/>
      <c r="AV13" s="140" t="s">
        <v>120</v>
      </c>
      <c r="AW13" s="140"/>
      <c r="AX13" s="140" t="s">
        <v>121</v>
      </c>
      <c r="AY13" s="140"/>
      <c r="AZ13" s="140" t="s">
        <v>122</v>
      </c>
      <c r="BA13" s="140"/>
      <c r="BB13" s="140" t="s">
        <v>123</v>
      </c>
      <c r="BC13" s="140"/>
      <c r="BF13" s="140" t="s">
        <v>120</v>
      </c>
      <c r="BG13" s="140"/>
      <c r="BH13" s="140" t="s">
        <v>121</v>
      </c>
      <c r="BI13" s="140"/>
      <c r="BJ13" s="140" t="s">
        <v>122</v>
      </c>
      <c r="BK13" s="140"/>
      <c r="BL13" s="140" t="s">
        <v>123</v>
      </c>
      <c r="BM13" s="140"/>
    </row>
    <row r="14" spans="7:65" hidden="1" x14ac:dyDescent="0.2">
      <c r="H14" s="140">
        <v>5</v>
      </c>
      <c r="I14" s="140"/>
      <c r="J14" s="140">
        <v>6</v>
      </c>
      <c r="K14" s="140"/>
      <c r="L14" s="140">
        <v>7</v>
      </c>
      <c r="M14" s="140"/>
      <c r="N14" s="140">
        <v>8</v>
      </c>
      <c r="O14" s="140"/>
      <c r="R14" s="140">
        <v>5</v>
      </c>
      <c r="S14" s="140"/>
      <c r="T14" s="140">
        <v>6</v>
      </c>
      <c r="U14" s="140"/>
      <c r="V14" s="140">
        <v>7</v>
      </c>
      <c r="W14" s="140"/>
      <c r="X14" s="140">
        <v>8</v>
      </c>
      <c r="Y14" s="140"/>
      <c r="AB14" s="140">
        <v>5</v>
      </c>
      <c r="AC14" s="140"/>
      <c r="AD14" s="140">
        <v>6</v>
      </c>
      <c r="AE14" s="140"/>
      <c r="AF14" s="140">
        <v>7</v>
      </c>
      <c r="AG14" s="140"/>
      <c r="AH14" s="140">
        <v>8</v>
      </c>
      <c r="AI14" s="140"/>
      <c r="AL14" s="140">
        <v>5</v>
      </c>
      <c r="AM14" s="140"/>
      <c r="AN14" s="140">
        <v>6</v>
      </c>
      <c r="AO14" s="140"/>
      <c r="AP14" s="140">
        <v>7</v>
      </c>
      <c r="AQ14" s="140"/>
      <c r="AR14" s="140">
        <v>8</v>
      </c>
      <c r="AS14" s="140"/>
      <c r="AV14" s="140">
        <v>5</v>
      </c>
      <c r="AW14" s="140"/>
      <c r="AX14" s="140">
        <v>6</v>
      </c>
      <c r="AY14" s="140"/>
      <c r="AZ14" s="140">
        <v>7</v>
      </c>
      <c r="BA14" s="140"/>
      <c r="BB14" s="140">
        <v>8</v>
      </c>
      <c r="BC14" s="140"/>
      <c r="BF14" s="140">
        <v>5</v>
      </c>
      <c r="BG14" s="140"/>
      <c r="BH14" s="140">
        <v>6</v>
      </c>
      <c r="BI14" s="140"/>
      <c r="BJ14" s="140">
        <v>7</v>
      </c>
      <c r="BK14" s="140"/>
      <c r="BL14" s="140">
        <v>8</v>
      </c>
      <c r="BM14" s="140"/>
    </row>
    <row r="15" spans="7:65" hidden="1" x14ac:dyDescent="0.2">
      <c r="H15" s="105" t="s">
        <v>24</v>
      </c>
      <c r="I15" s="105" t="s">
        <v>25</v>
      </c>
      <c r="J15" s="105" t="s">
        <v>24</v>
      </c>
      <c r="K15" s="105" t="s">
        <v>25</v>
      </c>
      <c r="L15" s="105" t="s">
        <v>24</v>
      </c>
      <c r="M15" s="105" t="s">
        <v>25</v>
      </c>
      <c r="N15" s="105" t="s">
        <v>24</v>
      </c>
      <c r="O15" s="105" t="s">
        <v>25</v>
      </c>
      <c r="R15" s="105" t="s">
        <v>24</v>
      </c>
      <c r="S15" s="105" t="s">
        <v>25</v>
      </c>
      <c r="T15" s="105" t="s">
        <v>24</v>
      </c>
      <c r="U15" s="105" t="s">
        <v>25</v>
      </c>
      <c r="V15" s="105" t="s">
        <v>24</v>
      </c>
      <c r="W15" s="105" t="s">
        <v>25</v>
      </c>
      <c r="X15" s="105" t="s">
        <v>24</v>
      </c>
      <c r="Y15" s="105" t="s">
        <v>25</v>
      </c>
      <c r="AB15" s="105" t="s">
        <v>24</v>
      </c>
      <c r="AC15" s="105" t="s">
        <v>25</v>
      </c>
      <c r="AD15" s="105" t="s">
        <v>24</v>
      </c>
      <c r="AE15" s="105" t="s">
        <v>25</v>
      </c>
      <c r="AF15" s="105" t="s">
        <v>24</v>
      </c>
      <c r="AG15" s="105" t="s">
        <v>25</v>
      </c>
      <c r="AH15" s="105" t="s">
        <v>24</v>
      </c>
      <c r="AI15" s="105" t="s">
        <v>25</v>
      </c>
      <c r="AL15" s="105" t="s">
        <v>24</v>
      </c>
      <c r="AM15" s="105" t="s">
        <v>25</v>
      </c>
      <c r="AN15" s="105" t="s">
        <v>24</v>
      </c>
      <c r="AO15" s="105" t="s">
        <v>25</v>
      </c>
      <c r="AP15" s="105" t="s">
        <v>24</v>
      </c>
      <c r="AQ15" s="105" t="s">
        <v>25</v>
      </c>
      <c r="AR15" s="105" t="s">
        <v>24</v>
      </c>
      <c r="AS15" s="105" t="s">
        <v>25</v>
      </c>
      <c r="AV15" s="105" t="s">
        <v>24</v>
      </c>
      <c r="AW15" s="105" t="s">
        <v>25</v>
      </c>
      <c r="AX15" s="105" t="s">
        <v>24</v>
      </c>
      <c r="AY15" s="105" t="s">
        <v>25</v>
      </c>
      <c r="AZ15" s="105" t="s">
        <v>24</v>
      </c>
      <c r="BA15" s="105" t="s">
        <v>25</v>
      </c>
      <c r="BB15" s="105" t="s">
        <v>24</v>
      </c>
      <c r="BC15" s="105" t="s">
        <v>25</v>
      </c>
      <c r="BF15" s="105" t="s">
        <v>24</v>
      </c>
      <c r="BG15" s="105" t="s">
        <v>25</v>
      </c>
      <c r="BH15" s="105" t="s">
        <v>24</v>
      </c>
      <c r="BI15" s="105" t="s">
        <v>25</v>
      </c>
      <c r="BJ15" s="105" t="s">
        <v>24</v>
      </c>
      <c r="BK15" s="105" t="s">
        <v>25</v>
      </c>
      <c r="BL15" s="105" t="s">
        <v>24</v>
      </c>
      <c r="BM15" s="105" t="s">
        <v>25</v>
      </c>
    </row>
    <row r="16" spans="7:65" hidden="1" x14ac:dyDescent="0.2">
      <c r="G16" s="102" t="s">
        <v>166</v>
      </c>
      <c r="H16" s="102">
        <v>6.2</v>
      </c>
      <c r="I16" s="102">
        <v>6.65</v>
      </c>
      <c r="J16" s="102">
        <v>6.4</v>
      </c>
      <c r="K16" s="102">
        <v>6.85</v>
      </c>
      <c r="L16" s="102">
        <v>6.55</v>
      </c>
      <c r="M16" s="102">
        <v>7.05</v>
      </c>
      <c r="N16" s="102">
        <v>6.7</v>
      </c>
      <c r="O16" s="102">
        <v>7.25</v>
      </c>
      <c r="Q16" s="102" t="s">
        <v>166</v>
      </c>
      <c r="R16" s="102">
        <v>5.45</v>
      </c>
      <c r="S16" s="102">
        <v>5.45</v>
      </c>
      <c r="T16" s="102">
        <v>5.25</v>
      </c>
      <c r="U16" s="102">
        <v>5.25</v>
      </c>
      <c r="V16" s="102">
        <v>5.0999999999999996</v>
      </c>
      <c r="W16" s="102">
        <v>5.0999999999999996</v>
      </c>
      <c r="X16" s="102">
        <v>4.95</v>
      </c>
      <c r="Y16" s="102">
        <v>4.95</v>
      </c>
      <c r="AA16" s="102" t="s">
        <v>166</v>
      </c>
      <c r="AB16" s="102">
        <v>7.05</v>
      </c>
      <c r="AC16" s="102">
        <v>7.55</v>
      </c>
      <c r="AD16" s="102">
        <v>7.2</v>
      </c>
      <c r="AE16" s="102">
        <v>7.75</v>
      </c>
      <c r="AF16" s="102">
        <v>7.3</v>
      </c>
      <c r="AG16" s="102">
        <v>7.8</v>
      </c>
      <c r="AH16" s="102">
        <v>7.45</v>
      </c>
      <c r="AI16" s="102">
        <v>7.85</v>
      </c>
      <c r="AK16" s="102" t="s">
        <v>166</v>
      </c>
      <c r="AL16" s="102">
        <v>5.2</v>
      </c>
      <c r="AM16" s="102">
        <v>5.2</v>
      </c>
      <c r="AN16" s="102">
        <v>6.25</v>
      </c>
      <c r="AO16" s="102">
        <v>6.35</v>
      </c>
      <c r="AP16" s="102">
        <v>6.15</v>
      </c>
      <c r="AQ16" s="102">
        <v>6.15</v>
      </c>
      <c r="AR16" s="102">
        <v>6</v>
      </c>
      <c r="AS16" s="102">
        <v>6</v>
      </c>
      <c r="AU16" s="102" t="s">
        <v>166</v>
      </c>
      <c r="AV16" s="102">
        <v>8.25</v>
      </c>
      <c r="AW16" s="102">
        <v>8.9</v>
      </c>
      <c r="AX16" s="102">
        <v>8.35</v>
      </c>
      <c r="AY16" s="102">
        <v>9</v>
      </c>
      <c r="AZ16" s="102">
        <v>8.5</v>
      </c>
      <c r="BA16" s="102">
        <v>9</v>
      </c>
      <c r="BB16" s="102">
        <v>8.6</v>
      </c>
      <c r="BC16" s="102">
        <v>9</v>
      </c>
      <c r="BE16" s="102" t="s">
        <v>166</v>
      </c>
      <c r="BF16" s="102">
        <v>6.05</v>
      </c>
      <c r="BG16" s="102">
        <v>6.05</v>
      </c>
      <c r="BH16" s="102">
        <v>5.9</v>
      </c>
      <c r="BI16" s="102">
        <v>5.9</v>
      </c>
      <c r="BJ16" s="102">
        <v>5.75</v>
      </c>
      <c r="BK16" s="102">
        <v>5.75</v>
      </c>
      <c r="BL16" s="102">
        <v>5.6</v>
      </c>
      <c r="BM16" s="102">
        <v>5.6</v>
      </c>
    </row>
    <row r="17" spans="7:65" hidden="1" x14ac:dyDescent="0.2">
      <c r="G17" s="102" t="s">
        <v>34</v>
      </c>
      <c r="H17" s="102">
        <v>5.75</v>
      </c>
      <c r="I17" s="102">
        <v>6.2</v>
      </c>
      <c r="J17" s="102">
        <v>6</v>
      </c>
      <c r="K17" s="102">
        <v>6.45</v>
      </c>
      <c r="L17" s="102">
        <v>6.2</v>
      </c>
      <c r="M17" s="102">
        <v>6.7</v>
      </c>
      <c r="N17" s="102">
        <v>6.35</v>
      </c>
      <c r="O17" s="102">
        <v>6.7</v>
      </c>
      <c r="Q17" s="102" t="s">
        <v>34</v>
      </c>
      <c r="R17" s="102">
        <v>5.45</v>
      </c>
      <c r="S17" s="102">
        <v>5.45</v>
      </c>
      <c r="T17" s="102">
        <v>5.25</v>
      </c>
      <c r="U17" s="102">
        <v>5.25</v>
      </c>
      <c r="V17" s="102">
        <v>5.0999999999999996</v>
      </c>
      <c r="W17" s="102">
        <v>5.0999999999999996</v>
      </c>
      <c r="X17" s="102">
        <v>4.95</v>
      </c>
      <c r="Y17" s="102">
        <v>4.95</v>
      </c>
      <c r="AA17" s="102" t="s">
        <v>34</v>
      </c>
      <c r="AB17" s="102">
        <v>6.65</v>
      </c>
      <c r="AC17" s="102">
        <v>7.15</v>
      </c>
      <c r="AD17" s="102">
        <v>7</v>
      </c>
      <c r="AE17" s="102">
        <v>7.6</v>
      </c>
      <c r="AF17" s="102">
        <v>7.1</v>
      </c>
      <c r="AG17" s="102">
        <v>7.7</v>
      </c>
      <c r="AH17" s="102">
        <v>7.25</v>
      </c>
      <c r="AI17" s="102">
        <v>7.85</v>
      </c>
      <c r="AK17" s="102" t="s">
        <v>34</v>
      </c>
      <c r="AL17" s="102">
        <v>5.2</v>
      </c>
      <c r="AM17" s="102">
        <v>5.2</v>
      </c>
      <c r="AN17" s="102">
        <v>6.25</v>
      </c>
      <c r="AO17" s="102">
        <v>6.35</v>
      </c>
      <c r="AP17" s="102">
        <v>6.15</v>
      </c>
      <c r="AQ17" s="102">
        <v>6.15</v>
      </c>
      <c r="AR17" s="102">
        <v>6</v>
      </c>
      <c r="AS17" s="102">
        <v>6</v>
      </c>
      <c r="AU17" s="102" t="s">
        <v>34</v>
      </c>
      <c r="AV17" s="102">
        <v>7.8</v>
      </c>
      <c r="AW17" s="102">
        <v>8.5</v>
      </c>
      <c r="AX17" s="102">
        <v>8</v>
      </c>
      <c r="AY17" s="102">
        <v>8.6999999999999993</v>
      </c>
      <c r="AZ17" s="102">
        <v>8.0500000000000007</v>
      </c>
      <c r="BA17" s="102">
        <v>8.8000000000000007</v>
      </c>
      <c r="BB17" s="102">
        <v>8.1999999999999993</v>
      </c>
      <c r="BC17" s="102">
        <v>8.9</v>
      </c>
      <c r="BE17" s="102" t="s">
        <v>34</v>
      </c>
      <c r="BF17" s="102">
        <v>6.05</v>
      </c>
      <c r="BG17" s="102">
        <v>6.05</v>
      </c>
      <c r="BH17" s="102">
        <v>5.9</v>
      </c>
      <c r="BI17" s="102">
        <v>5.9</v>
      </c>
      <c r="BJ17" s="102">
        <v>5.75</v>
      </c>
      <c r="BK17" s="102">
        <v>5.75</v>
      </c>
      <c r="BL17" s="102">
        <v>5.6</v>
      </c>
      <c r="BM17" s="102">
        <v>5.6</v>
      </c>
    </row>
    <row r="18" spans="7:65" hidden="1" x14ac:dyDescent="0.2">
      <c r="G18" s="102" t="s">
        <v>35</v>
      </c>
      <c r="H18" s="102">
        <v>5.5</v>
      </c>
      <c r="I18" s="102">
        <v>5.95</v>
      </c>
      <c r="J18" s="102">
        <v>5.7</v>
      </c>
      <c r="K18" s="102">
        <v>6.2</v>
      </c>
      <c r="L18" s="102">
        <v>5.9</v>
      </c>
      <c r="M18" s="102">
        <v>6.4</v>
      </c>
      <c r="N18" s="102">
        <v>6.05</v>
      </c>
      <c r="O18" s="102">
        <v>6.6</v>
      </c>
      <c r="Q18" s="102" t="s">
        <v>35</v>
      </c>
      <c r="R18" s="102">
        <v>5.3</v>
      </c>
      <c r="S18" s="102">
        <v>5.45</v>
      </c>
      <c r="T18" s="102">
        <v>5.25</v>
      </c>
      <c r="U18" s="102">
        <v>5.25</v>
      </c>
      <c r="V18" s="102">
        <v>5.0999999999999996</v>
      </c>
      <c r="W18" s="102">
        <v>5.0999999999999996</v>
      </c>
      <c r="X18" s="102">
        <v>4.95</v>
      </c>
      <c r="Y18" s="102">
        <v>4.95</v>
      </c>
      <c r="AA18" s="102" t="s">
        <v>35</v>
      </c>
      <c r="AB18" s="102">
        <v>6.3</v>
      </c>
      <c r="AC18" s="102">
        <v>6.85</v>
      </c>
      <c r="AD18" s="102">
        <v>6.65</v>
      </c>
      <c r="AE18" s="102">
        <v>7.25</v>
      </c>
      <c r="AF18" s="102">
        <v>6.75</v>
      </c>
      <c r="AG18" s="102">
        <v>7.35</v>
      </c>
      <c r="AH18" s="102">
        <v>6.9</v>
      </c>
      <c r="AI18" s="102">
        <v>7.55</v>
      </c>
      <c r="AK18" s="102" t="s">
        <v>35</v>
      </c>
      <c r="AL18" s="102">
        <v>5.2</v>
      </c>
      <c r="AM18" s="102">
        <v>5.2</v>
      </c>
      <c r="AN18" s="102">
        <v>6.05</v>
      </c>
      <c r="AO18" s="102">
        <v>6.35</v>
      </c>
      <c r="AP18" s="102">
        <v>6.15</v>
      </c>
      <c r="AQ18" s="102">
        <v>6.15</v>
      </c>
      <c r="AR18" s="102">
        <v>6</v>
      </c>
      <c r="AS18" s="102">
        <v>6</v>
      </c>
      <c r="AU18" s="102" t="s">
        <v>35</v>
      </c>
      <c r="AV18" s="102">
        <v>7.45</v>
      </c>
      <c r="AW18" s="102">
        <v>8.1</v>
      </c>
      <c r="AX18" s="102">
        <v>7.65</v>
      </c>
      <c r="AY18" s="102">
        <v>8.35</v>
      </c>
      <c r="AZ18" s="102">
        <v>7.7</v>
      </c>
      <c r="BA18" s="102">
        <v>8.4499999999999993</v>
      </c>
      <c r="BB18" s="102">
        <v>7.85</v>
      </c>
      <c r="BC18" s="102">
        <v>8.6</v>
      </c>
      <c r="BE18" s="102" t="s">
        <v>35</v>
      </c>
      <c r="BF18" s="102">
        <v>6.05</v>
      </c>
      <c r="BG18" s="102">
        <v>6.05</v>
      </c>
      <c r="BH18" s="102">
        <v>5.9</v>
      </c>
      <c r="BI18" s="102">
        <v>5.9</v>
      </c>
      <c r="BJ18" s="102">
        <v>5.75</v>
      </c>
      <c r="BK18" s="102">
        <v>5.75</v>
      </c>
      <c r="BL18" s="102">
        <v>5.6</v>
      </c>
      <c r="BM18" s="102">
        <v>5.6</v>
      </c>
    </row>
    <row r="19" spans="7:65" hidden="1" x14ac:dyDescent="0.2">
      <c r="G19" s="102" t="s">
        <v>36</v>
      </c>
      <c r="H19" s="102">
        <v>5.25</v>
      </c>
      <c r="I19" s="102">
        <v>5.7</v>
      </c>
      <c r="J19" s="102">
        <v>5.45</v>
      </c>
      <c r="K19" s="102">
        <v>5.95</v>
      </c>
      <c r="L19" s="102">
        <v>5.65</v>
      </c>
      <c r="M19" s="102">
        <v>6.15</v>
      </c>
      <c r="N19" s="102">
        <v>5.8</v>
      </c>
      <c r="O19" s="102">
        <v>6.35</v>
      </c>
      <c r="Q19" s="102" t="s">
        <v>36</v>
      </c>
      <c r="R19" s="102">
        <v>5.0999999999999996</v>
      </c>
      <c r="S19" s="102">
        <v>5.25</v>
      </c>
      <c r="T19" s="102">
        <v>5.25</v>
      </c>
      <c r="U19" s="102">
        <v>5.25</v>
      </c>
      <c r="V19" s="102">
        <v>5.0999999999999996</v>
      </c>
      <c r="W19" s="102">
        <v>5.0999999999999996</v>
      </c>
      <c r="X19" s="102">
        <v>4.95</v>
      </c>
      <c r="Y19" s="102">
        <v>4.95</v>
      </c>
      <c r="AA19" s="102" t="s">
        <v>36</v>
      </c>
      <c r="AB19" s="102">
        <v>6</v>
      </c>
      <c r="AC19" s="102">
        <v>6.55</v>
      </c>
      <c r="AD19" s="102">
        <v>6.35</v>
      </c>
      <c r="AE19" s="102">
        <v>6.95</v>
      </c>
      <c r="AF19" s="102">
        <v>6.5</v>
      </c>
      <c r="AG19" s="102">
        <v>7.1</v>
      </c>
      <c r="AH19" s="102">
        <v>6.65</v>
      </c>
      <c r="AI19" s="102">
        <v>7.25</v>
      </c>
      <c r="AK19" s="102" t="s">
        <v>36</v>
      </c>
      <c r="AL19" s="102">
        <v>5.2</v>
      </c>
      <c r="AM19" s="102">
        <v>5.2</v>
      </c>
      <c r="AN19" s="102">
        <v>5.9</v>
      </c>
      <c r="AO19" s="102">
        <v>6.2</v>
      </c>
      <c r="AP19" s="102">
        <v>6</v>
      </c>
      <c r="AQ19" s="102">
        <v>6.15</v>
      </c>
      <c r="AR19" s="102">
        <v>5.9</v>
      </c>
      <c r="AS19" s="102">
        <v>6</v>
      </c>
      <c r="AU19" s="102" t="s">
        <v>36</v>
      </c>
      <c r="AV19" s="102">
        <v>7.15</v>
      </c>
      <c r="AW19" s="102">
        <v>7.8</v>
      </c>
      <c r="AX19" s="102">
        <v>7.35</v>
      </c>
      <c r="AY19" s="102">
        <v>8.0500000000000007</v>
      </c>
      <c r="AZ19" s="102">
        <v>7.45</v>
      </c>
      <c r="BA19" s="102">
        <v>8.15</v>
      </c>
      <c r="BB19" s="102">
        <v>7.55</v>
      </c>
      <c r="BC19" s="102">
        <v>8.3000000000000007</v>
      </c>
      <c r="BE19" s="102" t="s">
        <v>36</v>
      </c>
      <c r="BF19" s="102">
        <v>6.05</v>
      </c>
      <c r="BG19" s="102">
        <v>6.05</v>
      </c>
      <c r="BH19" s="102">
        <v>5.9</v>
      </c>
      <c r="BI19" s="102">
        <v>5.9</v>
      </c>
      <c r="BJ19" s="102">
        <v>5.75</v>
      </c>
      <c r="BK19" s="102">
        <v>5.75</v>
      </c>
      <c r="BL19" s="102">
        <v>5.6</v>
      </c>
      <c r="BM19" s="102">
        <v>5.6</v>
      </c>
    </row>
    <row r="20" spans="7:65" hidden="1" x14ac:dyDescent="0.2">
      <c r="G20" s="102" t="s">
        <v>37</v>
      </c>
      <c r="H20" s="102">
        <v>5.05</v>
      </c>
      <c r="I20" s="102">
        <v>5.5</v>
      </c>
      <c r="J20" s="102">
        <v>5.25</v>
      </c>
      <c r="K20" s="102">
        <v>5.7</v>
      </c>
      <c r="L20" s="102">
        <v>5.4</v>
      </c>
      <c r="M20" s="102">
        <v>5.9</v>
      </c>
      <c r="N20" s="102">
        <v>5.6</v>
      </c>
      <c r="O20" s="102">
        <v>6.15</v>
      </c>
      <c r="Q20" s="102" t="s">
        <v>37</v>
      </c>
      <c r="R20" s="102">
        <v>4.8</v>
      </c>
      <c r="S20" s="102">
        <v>4.8</v>
      </c>
      <c r="T20" s="102">
        <v>4.9000000000000004</v>
      </c>
      <c r="U20" s="102">
        <v>5.05</v>
      </c>
      <c r="V20" s="102">
        <v>4.8499999999999996</v>
      </c>
      <c r="W20" s="102">
        <v>5.0999999999999996</v>
      </c>
      <c r="X20" s="102">
        <v>4.75</v>
      </c>
      <c r="Y20" s="102">
        <v>4.95</v>
      </c>
      <c r="AA20" s="102" t="s">
        <v>37</v>
      </c>
      <c r="AB20" s="102">
        <v>5.8</v>
      </c>
      <c r="AC20" s="102">
        <v>6.3</v>
      </c>
      <c r="AD20" s="102">
        <v>6.1</v>
      </c>
      <c r="AE20" s="102">
        <v>6.7</v>
      </c>
      <c r="AF20" s="102">
        <v>6.25</v>
      </c>
      <c r="AG20" s="102">
        <v>6.85</v>
      </c>
      <c r="AH20" s="102">
        <v>6.4</v>
      </c>
      <c r="AI20" s="102">
        <v>7.05</v>
      </c>
      <c r="AK20" s="102" t="s">
        <v>37</v>
      </c>
      <c r="AL20" s="102">
        <v>5.2</v>
      </c>
      <c r="AM20" s="102">
        <v>5.2</v>
      </c>
      <c r="AN20" s="102">
        <v>5.7</v>
      </c>
      <c r="AO20" s="102">
        <v>6.05</v>
      </c>
      <c r="AP20" s="102">
        <v>5.95</v>
      </c>
      <c r="AQ20" s="102">
        <v>6.15</v>
      </c>
      <c r="AR20" s="102">
        <v>5.7</v>
      </c>
      <c r="AS20" s="102">
        <v>6</v>
      </c>
      <c r="AU20" s="102" t="s">
        <v>37</v>
      </c>
      <c r="AV20" s="102">
        <v>6.9</v>
      </c>
      <c r="AW20" s="102">
        <v>7.55</v>
      </c>
      <c r="AX20" s="102">
        <v>7.05</v>
      </c>
      <c r="AY20" s="102">
        <v>7.8</v>
      </c>
      <c r="AZ20" s="102">
        <v>7.2</v>
      </c>
      <c r="BA20" s="102">
        <v>7.9</v>
      </c>
      <c r="BB20" s="102">
        <v>7.3</v>
      </c>
      <c r="BC20" s="102">
        <v>8.0500000000000007</v>
      </c>
      <c r="BE20" s="102" t="s">
        <v>37</v>
      </c>
      <c r="BF20" s="102">
        <v>6.05</v>
      </c>
      <c r="BG20" s="102">
        <v>6.05</v>
      </c>
      <c r="BH20" s="102">
        <v>5.8</v>
      </c>
      <c r="BI20" s="102">
        <v>5.9</v>
      </c>
      <c r="BJ20" s="102">
        <v>5.7</v>
      </c>
      <c r="BK20" s="102">
        <v>5.75</v>
      </c>
      <c r="BL20" s="102">
        <v>5.6</v>
      </c>
      <c r="BM20" s="102">
        <v>5.6</v>
      </c>
    </row>
    <row r="21" spans="7:65" hidden="1" x14ac:dyDescent="0.2">
      <c r="G21" s="102" t="s">
        <v>80</v>
      </c>
      <c r="H21" s="102">
        <v>4.6500000000000004</v>
      </c>
      <c r="I21" s="102">
        <v>4.6500000000000004</v>
      </c>
      <c r="J21" s="102">
        <v>4.8499999999999996</v>
      </c>
      <c r="K21" s="102">
        <v>4.8499999999999996</v>
      </c>
      <c r="L21" s="102">
        <v>5.0999999999999996</v>
      </c>
      <c r="M21" s="102">
        <v>5.0999999999999996</v>
      </c>
      <c r="N21" s="102">
        <v>5.2</v>
      </c>
      <c r="O21" s="102">
        <v>5.25</v>
      </c>
      <c r="Q21" s="102" t="s">
        <v>80</v>
      </c>
      <c r="R21" s="102">
        <v>4.2</v>
      </c>
      <c r="S21" s="102">
        <v>4.2</v>
      </c>
      <c r="T21" s="102">
        <v>4.25</v>
      </c>
      <c r="U21" s="102">
        <v>4.25</v>
      </c>
      <c r="V21" s="102">
        <v>4.6500000000000004</v>
      </c>
      <c r="W21" s="102">
        <v>4.6500000000000004</v>
      </c>
      <c r="X21" s="102">
        <v>4.6500000000000004</v>
      </c>
      <c r="Y21" s="102">
        <v>4.6500000000000004</v>
      </c>
      <c r="AA21" s="102" t="s">
        <v>80</v>
      </c>
      <c r="AB21" s="102">
        <v>5.45</v>
      </c>
      <c r="AC21" s="102">
        <v>6</v>
      </c>
      <c r="AD21" s="102">
        <v>5.75</v>
      </c>
      <c r="AE21" s="102">
        <v>6.3</v>
      </c>
      <c r="AF21" s="102">
        <v>5.9</v>
      </c>
      <c r="AG21" s="102">
        <v>5.64</v>
      </c>
      <c r="AH21" s="102">
        <v>5.25</v>
      </c>
      <c r="AI21" s="102">
        <v>5.65</v>
      </c>
      <c r="AK21" s="102" t="s">
        <v>80</v>
      </c>
      <c r="AL21" s="102">
        <v>4.9000000000000004</v>
      </c>
      <c r="AM21" s="102">
        <v>4.9000000000000004</v>
      </c>
      <c r="AN21" s="102">
        <v>5.55</v>
      </c>
      <c r="AO21" s="102">
        <v>5.8</v>
      </c>
      <c r="AP21" s="102">
        <v>5.65</v>
      </c>
      <c r="AQ21" s="102">
        <v>5.9</v>
      </c>
      <c r="AR21" s="102">
        <v>5.5</v>
      </c>
      <c r="AS21" s="102">
        <v>5.8</v>
      </c>
      <c r="AU21" s="102" t="s">
        <v>80</v>
      </c>
      <c r="AV21" s="102">
        <v>6.7</v>
      </c>
      <c r="AW21" s="102">
        <v>7.15</v>
      </c>
      <c r="AX21" s="102">
        <v>6.65</v>
      </c>
      <c r="AY21" s="102">
        <v>7.65</v>
      </c>
      <c r="AZ21" s="102">
        <v>6.9</v>
      </c>
      <c r="BA21" s="102">
        <v>7.55</v>
      </c>
      <c r="BB21" s="102">
        <v>7</v>
      </c>
      <c r="BC21" s="102">
        <v>7.95</v>
      </c>
      <c r="BE21" s="102" t="s">
        <v>80</v>
      </c>
      <c r="BF21" s="102">
        <v>5.7</v>
      </c>
      <c r="BG21" s="102">
        <v>5.9</v>
      </c>
      <c r="BH21" s="102">
        <v>5.65</v>
      </c>
      <c r="BI21" s="102">
        <v>5.9</v>
      </c>
      <c r="BJ21" s="102">
        <v>5.6</v>
      </c>
      <c r="BK21" s="102">
        <v>5.75</v>
      </c>
      <c r="BL21" s="102">
        <v>5.5</v>
      </c>
      <c r="BM21" s="102">
        <v>5.6</v>
      </c>
    </row>
    <row r="22" spans="7:65" hidden="1" x14ac:dyDescent="0.2">
      <c r="G22" s="102" t="s">
        <v>38</v>
      </c>
      <c r="H22" s="102">
        <v>4.45</v>
      </c>
      <c r="I22" s="102">
        <v>4.45</v>
      </c>
      <c r="J22" s="102">
        <v>4.6500000000000004</v>
      </c>
      <c r="K22" s="102">
        <v>4.6500000000000004</v>
      </c>
      <c r="L22" s="102">
        <v>4.9000000000000004</v>
      </c>
      <c r="M22" s="102">
        <v>4.9000000000000004</v>
      </c>
      <c r="N22" s="102">
        <v>5.0999999999999996</v>
      </c>
      <c r="O22" s="102">
        <v>5.15</v>
      </c>
      <c r="Q22" s="102" t="s">
        <v>38</v>
      </c>
      <c r="R22" s="102">
        <v>3.8</v>
      </c>
      <c r="S22" s="102">
        <v>3.8</v>
      </c>
      <c r="T22" s="102">
        <v>4.05</v>
      </c>
      <c r="U22" s="102">
        <v>4.05</v>
      </c>
      <c r="V22" s="102">
        <v>4.25</v>
      </c>
      <c r="W22" s="102">
        <v>4.25</v>
      </c>
      <c r="X22" s="102">
        <v>4.45</v>
      </c>
      <c r="Y22" s="102">
        <v>4.45</v>
      </c>
      <c r="AA22" s="102" t="s">
        <v>38</v>
      </c>
      <c r="AB22" s="102">
        <v>5.25</v>
      </c>
      <c r="AC22" s="102">
        <v>5.75</v>
      </c>
      <c r="AD22" s="102">
        <v>5.55</v>
      </c>
      <c r="AE22" s="102">
        <v>6.1</v>
      </c>
      <c r="AF22" s="102">
        <v>5.7</v>
      </c>
      <c r="AG22" s="102">
        <v>6.25</v>
      </c>
      <c r="AH22" s="102">
        <v>5.05</v>
      </c>
      <c r="AI22" s="102">
        <v>6.45</v>
      </c>
      <c r="AK22" s="102" t="s">
        <v>38</v>
      </c>
      <c r="AL22" s="102">
        <v>4.7</v>
      </c>
      <c r="AM22" s="102">
        <v>4.7</v>
      </c>
      <c r="AN22" s="102">
        <v>5.25</v>
      </c>
      <c r="AO22" s="102">
        <v>5.55</v>
      </c>
      <c r="AP22" s="102">
        <v>5.3</v>
      </c>
      <c r="AQ22" s="102">
        <v>5.6</v>
      </c>
      <c r="AR22" s="102">
        <v>5.3</v>
      </c>
      <c r="AS22" s="102">
        <v>5.6</v>
      </c>
      <c r="AU22" s="102" t="s">
        <v>38</v>
      </c>
      <c r="AV22" s="102">
        <v>6.3</v>
      </c>
      <c r="AW22" s="102">
        <v>6.95</v>
      </c>
      <c r="AX22" s="102">
        <v>6.45</v>
      </c>
      <c r="AY22" s="102">
        <v>7.15</v>
      </c>
      <c r="AZ22" s="102">
        <v>6.6</v>
      </c>
      <c r="BA22" s="102">
        <v>7.25</v>
      </c>
      <c r="BB22" s="102">
        <v>6.7</v>
      </c>
      <c r="BC22" s="102">
        <v>7.45</v>
      </c>
      <c r="BE22" s="102" t="s">
        <v>38</v>
      </c>
      <c r="BF22" s="102">
        <v>5.5</v>
      </c>
      <c r="BG22" s="102">
        <v>5.8</v>
      </c>
      <c r="BH22" s="102">
        <v>5.45</v>
      </c>
      <c r="BI22" s="102">
        <v>5.75</v>
      </c>
      <c r="BJ22" s="102">
        <v>5.4</v>
      </c>
      <c r="BK22" s="102">
        <v>5.65</v>
      </c>
      <c r="BL22" s="102">
        <v>5.3</v>
      </c>
      <c r="BM22" s="102">
        <v>5.6</v>
      </c>
    </row>
    <row r="23" spans="7:65" hidden="1" x14ac:dyDescent="0.2">
      <c r="G23" s="102" t="s">
        <v>39</v>
      </c>
      <c r="H23" s="102">
        <v>3.9</v>
      </c>
      <c r="I23" s="102">
        <v>3.9</v>
      </c>
      <c r="J23" s="102">
        <v>4.1500000000000004</v>
      </c>
      <c r="K23" s="102">
        <v>4.1500000000000004</v>
      </c>
      <c r="L23" s="102">
        <v>4.3499999999999996</v>
      </c>
      <c r="M23" s="102">
        <v>4.3499999999999996</v>
      </c>
      <c r="N23" s="102">
        <v>4.55</v>
      </c>
      <c r="O23" s="102">
        <v>4.55</v>
      </c>
      <c r="Q23" s="102" t="s">
        <v>39</v>
      </c>
      <c r="R23" s="102">
        <v>3.35</v>
      </c>
      <c r="S23" s="102">
        <v>3.35</v>
      </c>
      <c r="T23" s="102">
        <v>3.55</v>
      </c>
      <c r="U23" s="102">
        <v>3.55</v>
      </c>
      <c r="V23" s="102">
        <v>3.75</v>
      </c>
      <c r="W23" s="102">
        <v>3.75</v>
      </c>
      <c r="X23" s="102">
        <v>4</v>
      </c>
      <c r="Y23" s="102">
        <v>4</v>
      </c>
      <c r="AA23" s="102" t="s">
        <v>39</v>
      </c>
      <c r="AB23" s="102">
        <v>4.95</v>
      </c>
      <c r="AC23" s="102">
        <v>5.45</v>
      </c>
      <c r="AD23" s="102">
        <v>5.25</v>
      </c>
      <c r="AE23" s="102">
        <v>5.8</v>
      </c>
      <c r="AF23" s="102">
        <v>5.4</v>
      </c>
      <c r="AG23" s="102">
        <v>6</v>
      </c>
      <c r="AH23" s="102">
        <v>5.55</v>
      </c>
      <c r="AI23" s="102">
        <v>6.15</v>
      </c>
      <c r="AK23" s="102" t="s">
        <v>39</v>
      </c>
      <c r="AL23" s="102">
        <v>4.1500000000000004</v>
      </c>
      <c r="AM23" s="102">
        <v>4.1500000000000004</v>
      </c>
      <c r="AN23" s="102">
        <v>5</v>
      </c>
      <c r="AO23" s="102">
        <v>5.3</v>
      </c>
      <c r="AP23" s="102">
        <v>5.05</v>
      </c>
      <c r="AQ23" s="102">
        <v>5.35</v>
      </c>
      <c r="AR23" s="102">
        <v>5.05</v>
      </c>
      <c r="AS23" s="102">
        <v>5.35</v>
      </c>
      <c r="AU23" s="102" t="s">
        <v>39</v>
      </c>
      <c r="AV23" s="102">
        <v>6</v>
      </c>
      <c r="AW23" s="102">
        <v>6.62</v>
      </c>
      <c r="AX23" s="102">
        <v>6.15</v>
      </c>
      <c r="AY23" s="102">
        <v>6.8</v>
      </c>
      <c r="AZ23" s="102">
        <v>6.25</v>
      </c>
      <c r="BA23" s="102">
        <v>6.95</v>
      </c>
      <c r="BB23" s="102">
        <v>6.4</v>
      </c>
      <c r="BC23" s="102">
        <v>7.1</v>
      </c>
      <c r="BE23" s="102" t="s">
        <v>39</v>
      </c>
      <c r="BF23" s="102">
        <v>5.3</v>
      </c>
      <c r="BG23" s="102">
        <v>5.6</v>
      </c>
      <c r="BH23" s="102">
        <v>5.25</v>
      </c>
      <c r="BI23" s="102">
        <v>5.5</v>
      </c>
      <c r="BJ23" s="102">
        <v>5.2</v>
      </c>
      <c r="BK23" s="102">
        <v>5.5</v>
      </c>
      <c r="BL23" s="102">
        <v>5.15</v>
      </c>
      <c r="BM23" s="102">
        <v>5.4</v>
      </c>
    </row>
    <row r="24" spans="7:65" s="97" customFormat="1" hidden="1" x14ac:dyDescent="0.2">
      <c r="G24" s="97" t="s">
        <v>167</v>
      </c>
      <c r="H24" s="97">
        <v>5.75</v>
      </c>
      <c r="I24" s="97">
        <v>6</v>
      </c>
      <c r="J24" s="97">
        <v>5.9</v>
      </c>
      <c r="K24" s="97">
        <v>6.2</v>
      </c>
      <c r="L24" s="97">
        <v>6.1</v>
      </c>
      <c r="M24" s="97">
        <v>6.4</v>
      </c>
      <c r="N24" s="97">
        <v>6.25</v>
      </c>
      <c r="O24" s="97">
        <v>6.6</v>
      </c>
      <c r="Q24" s="97" t="s">
        <v>167</v>
      </c>
      <c r="R24" s="97">
        <v>5.3</v>
      </c>
      <c r="S24" s="97">
        <v>5.45</v>
      </c>
      <c r="T24" s="97">
        <v>5.2</v>
      </c>
      <c r="U24" s="97">
        <v>5.25</v>
      </c>
      <c r="V24" s="97">
        <v>5</v>
      </c>
      <c r="W24" s="97">
        <v>5.0999999999999996</v>
      </c>
      <c r="X24" s="97">
        <v>4.9000000000000004</v>
      </c>
      <c r="Y24" s="97">
        <v>4.95</v>
      </c>
      <c r="AA24" s="97" t="s">
        <v>167</v>
      </c>
      <c r="AB24" s="97">
        <v>6.55</v>
      </c>
      <c r="AC24" s="97">
        <v>6.85</v>
      </c>
      <c r="AD24" s="97">
        <v>6.9</v>
      </c>
      <c r="AE24" s="97">
        <v>7.3</v>
      </c>
      <c r="AF24" s="97">
        <v>7</v>
      </c>
      <c r="AG24" s="97">
        <v>7.4</v>
      </c>
      <c r="AH24" s="97">
        <v>7.15</v>
      </c>
      <c r="AI24" s="97">
        <v>7.6</v>
      </c>
      <c r="AK24" s="97" t="s">
        <v>167</v>
      </c>
      <c r="AL24" s="97">
        <v>5.2</v>
      </c>
      <c r="AM24" s="97">
        <v>5.2</v>
      </c>
      <c r="AN24" s="97">
        <v>5.9</v>
      </c>
      <c r="AO24" s="97">
        <v>6.2</v>
      </c>
      <c r="AP24" s="97">
        <v>5.95</v>
      </c>
      <c r="AQ24" s="97">
        <v>6.15</v>
      </c>
      <c r="AR24" s="97">
        <v>5.9</v>
      </c>
      <c r="AS24" s="97">
        <v>6</v>
      </c>
      <c r="AU24" s="97" t="s">
        <v>167</v>
      </c>
      <c r="AV24" s="97">
        <v>7.7</v>
      </c>
      <c r="AW24" s="97">
        <v>8.15</v>
      </c>
      <c r="AX24" s="97">
        <v>7.85</v>
      </c>
      <c r="AY24" s="97">
        <v>8.3000000000000007</v>
      </c>
      <c r="AZ24" s="97">
        <v>7.95</v>
      </c>
      <c r="BA24" s="97">
        <v>8.4499999999999993</v>
      </c>
      <c r="BB24" s="97">
        <v>8.0500000000000007</v>
      </c>
      <c r="BC24" s="97">
        <v>8.6</v>
      </c>
      <c r="BE24" s="97" t="s">
        <v>167</v>
      </c>
      <c r="BF24" s="97">
        <v>6.05</v>
      </c>
      <c r="BG24" s="97">
        <v>6.05</v>
      </c>
      <c r="BH24" s="97">
        <v>5.9</v>
      </c>
      <c r="BI24" s="97">
        <v>5.9</v>
      </c>
      <c r="BJ24" s="97">
        <v>5.75</v>
      </c>
      <c r="BK24" s="97">
        <v>5.75</v>
      </c>
      <c r="BL24" s="97">
        <v>5.6</v>
      </c>
      <c r="BM24" s="97">
        <v>5.6</v>
      </c>
    </row>
    <row r="25" spans="7:65" hidden="1" x14ac:dyDescent="0.2">
      <c r="G25" s="102" t="s">
        <v>40</v>
      </c>
      <c r="H25" s="102">
        <v>4.45</v>
      </c>
      <c r="I25" s="102">
        <v>5.7</v>
      </c>
      <c r="J25" s="102">
        <v>5.6</v>
      </c>
      <c r="K25" s="102">
        <v>5.95</v>
      </c>
      <c r="L25" s="102">
        <v>5.2</v>
      </c>
      <c r="M25" s="102">
        <v>6.15</v>
      </c>
      <c r="N25" s="102">
        <v>6</v>
      </c>
      <c r="O25" s="102">
        <v>6.35</v>
      </c>
      <c r="Q25" s="102" t="s">
        <v>40</v>
      </c>
      <c r="R25" s="102">
        <v>5.15</v>
      </c>
      <c r="S25" s="102">
        <v>5.15</v>
      </c>
      <c r="T25" s="102">
        <v>5.05</v>
      </c>
      <c r="U25" s="102">
        <v>5.25</v>
      </c>
      <c r="V25" s="102">
        <v>5</v>
      </c>
      <c r="W25" s="102">
        <v>5.0999999999999996</v>
      </c>
      <c r="X25" s="102">
        <v>4.9000000000000004</v>
      </c>
      <c r="Y25" s="102">
        <v>4.95</v>
      </c>
      <c r="AA25" s="102" t="s">
        <v>40</v>
      </c>
      <c r="AB25" s="102">
        <v>6.2</v>
      </c>
      <c r="AC25" s="102">
        <v>6.55</v>
      </c>
      <c r="AD25" s="102">
        <v>6.35</v>
      </c>
      <c r="AE25" s="102">
        <v>7</v>
      </c>
      <c r="AF25" s="102">
        <v>6.7</v>
      </c>
      <c r="AG25" s="102">
        <v>7.1</v>
      </c>
      <c r="AH25" s="102">
        <v>6.85</v>
      </c>
      <c r="AI25" s="102">
        <v>7.3</v>
      </c>
      <c r="AK25" s="102" t="s">
        <v>40</v>
      </c>
      <c r="AL25" s="102">
        <v>5.2</v>
      </c>
      <c r="AM25" s="102">
        <v>5.2</v>
      </c>
      <c r="AN25" s="102">
        <v>5.9</v>
      </c>
      <c r="AO25" s="102">
        <v>6.2</v>
      </c>
      <c r="AP25" s="102">
        <v>5.95</v>
      </c>
      <c r="AQ25" s="102">
        <v>6.15</v>
      </c>
      <c r="AR25" s="102">
        <v>5.9</v>
      </c>
      <c r="AS25" s="102">
        <v>6</v>
      </c>
      <c r="AU25" s="102" t="s">
        <v>40</v>
      </c>
      <c r="AV25" s="102">
        <v>7.35</v>
      </c>
      <c r="AW25" s="102">
        <v>7.85</v>
      </c>
      <c r="AX25" s="102">
        <v>7.55</v>
      </c>
      <c r="AY25" s="102">
        <v>8.0500000000000007</v>
      </c>
      <c r="AZ25" s="102">
        <v>7.65</v>
      </c>
      <c r="BA25" s="102">
        <v>8.15</v>
      </c>
      <c r="BB25" s="102">
        <v>7.75</v>
      </c>
      <c r="BC25" s="102">
        <v>8.3000000000000007</v>
      </c>
      <c r="BE25" s="102" t="s">
        <v>40</v>
      </c>
      <c r="BF25" s="102">
        <v>6.05</v>
      </c>
      <c r="BG25" s="102">
        <v>6.05</v>
      </c>
      <c r="BH25" s="102">
        <v>5.9</v>
      </c>
      <c r="BI25" s="102">
        <v>5.9</v>
      </c>
      <c r="BJ25" s="102">
        <v>5.75</v>
      </c>
      <c r="BK25" s="102">
        <v>5.75</v>
      </c>
      <c r="BL25" s="102">
        <v>5.6</v>
      </c>
      <c r="BM25" s="102">
        <v>5.6</v>
      </c>
    </row>
    <row r="26" spans="7:65" hidden="1" x14ac:dyDescent="0.2">
      <c r="G26" s="102" t="s">
        <v>41</v>
      </c>
      <c r="H26" s="102">
        <v>5.2</v>
      </c>
      <c r="I26" s="102">
        <v>5.7</v>
      </c>
      <c r="J26" s="102">
        <v>5.4</v>
      </c>
      <c r="K26" s="102">
        <v>5.7</v>
      </c>
      <c r="L26" s="102">
        <v>5.55</v>
      </c>
      <c r="M26" s="102">
        <v>5.9</v>
      </c>
      <c r="N26" s="102">
        <v>5.75</v>
      </c>
      <c r="O26" s="102">
        <v>6.15</v>
      </c>
      <c r="Q26" s="102" t="s">
        <v>41</v>
      </c>
      <c r="R26" s="102">
        <v>4.7</v>
      </c>
      <c r="S26" s="102">
        <v>4.7</v>
      </c>
      <c r="T26" s="102">
        <v>4.9000000000000004</v>
      </c>
      <c r="U26" s="102">
        <v>4.97</v>
      </c>
      <c r="V26" s="102">
        <v>4.8499999999999996</v>
      </c>
      <c r="W26" s="102">
        <v>5.0999999999999996</v>
      </c>
      <c r="X26" s="102">
        <v>4.75</v>
      </c>
      <c r="Y26" s="102">
        <v>4.95</v>
      </c>
      <c r="AA26" s="102" t="s">
        <v>41</v>
      </c>
      <c r="AB26" s="102">
        <v>5.95</v>
      </c>
      <c r="AC26" s="102">
        <v>6.3</v>
      </c>
      <c r="AD26" s="102">
        <v>6.3</v>
      </c>
      <c r="AE26" s="102">
        <v>6.7</v>
      </c>
      <c r="AF26" s="102">
        <v>6.4</v>
      </c>
      <c r="AG26" s="102">
        <v>6.85</v>
      </c>
      <c r="AH26" s="102">
        <v>6.55</v>
      </c>
      <c r="AI26" s="102">
        <v>7.05</v>
      </c>
      <c r="AK26" s="102" t="s">
        <v>41</v>
      </c>
      <c r="AL26" s="102">
        <v>5.2</v>
      </c>
      <c r="AM26" s="102">
        <v>5.2</v>
      </c>
      <c r="AN26" s="102">
        <v>5.7</v>
      </c>
      <c r="AO26" s="102">
        <v>6.05</v>
      </c>
      <c r="AP26" s="102">
        <v>5.8</v>
      </c>
      <c r="AQ26" s="102">
        <v>6.1</v>
      </c>
      <c r="AR26" s="102">
        <v>5.75</v>
      </c>
      <c r="AS26" s="102">
        <v>6</v>
      </c>
      <c r="AU26" s="102" t="s">
        <v>41</v>
      </c>
      <c r="AV26" s="102">
        <v>7.05</v>
      </c>
      <c r="AW26" s="102">
        <v>7.55</v>
      </c>
      <c r="AX26" s="102">
        <v>7.25</v>
      </c>
      <c r="AY26" s="102">
        <v>7.8</v>
      </c>
      <c r="AZ26" s="102">
        <v>7.35</v>
      </c>
      <c r="BA26" s="102">
        <v>7.9</v>
      </c>
      <c r="BB26" s="102">
        <v>7.5</v>
      </c>
      <c r="BC26" s="102">
        <v>8.0500000000000007</v>
      </c>
      <c r="BE26" s="102" t="s">
        <v>41</v>
      </c>
      <c r="BF26" s="102">
        <v>6.05</v>
      </c>
      <c r="BG26" s="102">
        <v>6.05</v>
      </c>
      <c r="BH26" s="102">
        <v>5.9</v>
      </c>
      <c r="BI26" s="102">
        <v>5.9</v>
      </c>
      <c r="BJ26" s="102">
        <v>5.75</v>
      </c>
      <c r="BK26" s="102">
        <v>5.75</v>
      </c>
      <c r="BL26" s="102">
        <v>5.6</v>
      </c>
      <c r="BM26" s="102">
        <v>5.6</v>
      </c>
    </row>
    <row r="27" spans="7:65" hidden="1" x14ac:dyDescent="0.2">
      <c r="G27" s="102" t="s">
        <v>42</v>
      </c>
      <c r="H27" s="102">
        <v>5</v>
      </c>
      <c r="I27" s="102">
        <v>5.05</v>
      </c>
      <c r="J27" s="102">
        <v>5.2</v>
      </c>
      <c r="K27" s="102">
        <v>5.3</v>
      </c>
      <c r="L27" s="102">
        <v>5.4</v>
      </c>
      <c r="M27" s="102">
        <v>5.5</v>
      </c>
      <c r="N27" s="102">
        <v>5.55</v>
      </c>
      <c r="O27" s="102">
        <v>5.75</v>
      </c>
      <c r="Q27" s="102" t="s">
        <v>42</v>
      </c>
      <c r="R27" s="102">
        <v>4.3499999999999996</v>
      </c>
      <c r="S27" s="102">
        <v>4.3499999999999996</v>
      </c>
      <c r="T27" s="102">
        <v>4.5999999999999996</v>
      </c>
      <c r="U27" s="102">
        <v>4.5999999999999996</v>
      </c>
      <c r="V27" s="102">
        <v>4.7</v>
      </c>
      <c r="W27" s="102">
        <v>4.8</v>
      </c>
      <c r="X27" s="102">
        <v>4.6500000000000004</v>
      </c>
      <c r="Y27" s="102">
        <v>4.9000000000000004</v>
      </c>
      <c r="AA27" s="102" t="s">
        <v>42</v>
      </c>
      <c r="AB27" s="102">
        <v>5.7</v>
      </c>
      <c r="AC27" s="102">
        <v>6.1</v>
      </c>
      <c r="AD27" s="102">
        <v>5.9</v>
      </c>
      <c r="AE27" s="102">
        <v>6.5</v>
      </c>
      <c r="AF27" s="102">
        <v>6.2</v>
      </c>
      <c r="AG27" s="102">
        <v>6.65</v>
      </c>
      <c r="AH27" s="102">
        <v>6.35</v>
      </c>
      <c r="AI27" s="102">
        <v>6.8</v>
      </c>
      <c r="AK27" s="102" t="s">
        <v>42</v>
      </c>
      <c r="AL27" s="102">
        <v>4.9000000000000004</v>
      </c>
      <c r="AM27" s="102">
        <v>5.2</v>
      </c>
      <c r="AN27" s="102">
        <v>5.55</v>
      </c>
      <c r="AO27" s="102">
        <v>5.85</v>
      </c>
      <c r="AP27" s="102">
        <v>5.65</v>
      </c>
      <c r="AQ27" s="102">
        <v>5.95</v>
      </c>
      <c r="AR27" s="102">
        <v>5.6</v>
      </c>
      <c r="AS27" s="102">
        <v>5.9</v>
      </c>
      <c r="AU27" s="102" t="s">
        <v>42</v>
      </c>
      <c r="AV27" s="102">
        <v>6.8</v>
      </c>
      <c r="AW27" s="102">
        <v>7.3</v>
      </c>
      <c r="AX27" s="102">
        <v>7</v>
      </c>
      <c r="AY27" s="102">
        <v>7.55</v>
      </c>
      <c r="AZ27" s="102">
        <v>7.1</v>
      </c>
      <c r="BA27" s="102">
        <v>7.65</v>
      </c>
      <c r="BB27" s="102">
        <v>7.25</v>
      </c>
      <c r="BC27" s="102">
        <v>7.8</v>
      </c>
      <c r="BE27" s="102" t="s">
        <v>42</v>
      </c>
      <c r="BF27" s="102">
        <v>6.05</v>
      </c>
      <c r="BG27" s="102">
        <v>6.05</v>
      </c>
      <c r="BH27" s="102">
        <v>5.75</v>
      </c>
      <c r="BI27" s="102">
        <v>5.9</v>
      </c>
      <c r="BJ27" s="102">
        <v>5.75</v>
      </c>
      <c r="BK27" s="102">
        <v>5.75</v>
      </c>
      <c r="BL27" s="102">
        <v>5.6</v>
      </c>
      <c r="BM27" s="102">
        <v>5.6</v>
      </c>
    </row>
    <row r="28" spans="7:65" hidden="1" x14ac:dyDescent="0.2">
      <c r="G28" s="102" t="s">
        <v>43</v>
      </c>
      <c r="H28" s="102">
        <v>4.7</v>
      </c>
      <c r="I28" s="102">
        <v>4.7</v>
      </c>
      <c r="J28" s="102">
        <v>4.9000000000000004</v>
      </c>
      <c r="K28" s="102">
        <v>4.9000000000000004</v>
      </c>
      <c r="L28" s="102">
        <v>4.9000000000000004</v>
      </c>
      <c r="M28" s="102">
        <v>5.15</v>
      </c>
      <c r="N28" s="102">
        <v>5.35</v>
      </c>
      <c r="O28" s="102">
        <v>5.4</v>
      </c>
      <c r="Q28" s="102" t="s">
        <v>43</v>
      </c>
      <c r="R28" s="102">
        <v>4.05</v>
      </c>
      <c r="S28" s="102">
        <v>4.05</v>
      </c>
      <c r="T28" s="102">
        <v>4.25</v>
      </c>
      <c r="U28" s="102">
        <v>4.25</v>
      </c>
      <c r="V28" s="102">
        <v>4.5</v>
      </c>
      <c r="W28" s="102">
        <v>4.5</v>
      </c>
      <c r="X28" s="102">
        <v>4.55</v>
      </c>
      <c r="Y28" s="102">
        <v>4.7</v>
      </c>
      <c r="AA28" s="102" t="s">
        <v>43</v>
      </c>
      <c r="AB28" s="102">
        <v>5.5</v>
      </c>
      <c r="AC28" s="102">
        <v>5.9</v>
      </c>
      <c r="AD28" s="102">
        <v>5.85</v>
      </c>
      <c r="AE28" s="102">
        <v>6.3</v>
      </c>
      <c r="AF28" s="102">
        <v>6</v>
      </c>
      <c r="AG28" s="102">
        <v>6.45</v>
      </c>
      <c r="AH28" s="102">
        <v>6.15</v>
      </c>
      <c r="AI28" s="102">
        <v>6.6</v>
      </c>
      <c r="AK28" s="102" t="s">
        <v>43</v>
      </c>
      <c r="AL28" s="102">
        <v>4.8</v>
      </c>
      <c r="AM28" s="102">
        <v>4.95</v>
      </c>
      <c r="AN28" s="102">
        <v>5.45</v>
      </c>
      <c r="AO28" s="102">
        <v>5.7</v>
      </c>
      <c r="AP28" s="102">
        <v>5.5</v>
      </c>
      <c r="AQ28" s="102">
        <v>5.8</v>
      </c>
      <c r="AR28" s="102">
        <v>5.45</v>
      </c>
      <c r="AS28" s="102">
        <v>5.75</v>
      </c>
      <c r="AU28" s="102" t="s">
        <v>43</v>
      </c>
      <c r="AV28" s="102">
        <v>6.6</v>
      </c>
      <c r="AW28" s="102">
        <v>7.1</v>
      </c>
      <c r="AX28" s="102">
        <v>6.8</v>
      </c>
      <c r="AY28" s="102">
        <v>7.3</v>
      </c>
      <c r="AZ28" s="102">
        <v>6.9</v>
      </c>
      <c r="BA28" s="102">
        <v>7.45</v>
      </c>
      <c r="BB28" s="102">
        <v>7.05</v>
      </c>
      <c r="BC28" s="102">
        <v>7.6</v>
      </c>
      <c r="BE28" s="102" t="s">
        <v>43</v>
      </c>
      <c r="BF28" s="102">
        <v>6.05</v>
      </c>
      <c r="BG28" s="102">
        <v>6.05</v>
      </c>
      <c r="BH28" s="102">
        <v>5.65</v>
      </c>
      <c r="BI28" s="102">
        <v>5.9</v>
      </c>
      <c r="BJ28" s="102">
        <v>5.6</v>
      </c>
      <c r="BK28" s="102">
        <v>5.75</v>
      </c>
      <c r="BL28" s="102">
        <v>5.5</v>
      </c>
      <c r="BM28" s="102">
        <v>5.6</v>
      </c>
    </row>
    <row r="29" spans="7:65" hidden="1" x14ac:dyDescent="0.2">
      <c r="G29" s="102" t="s">
        <v>81</v>
      </c>
      <c r="H29" s="102">
        <v>4</v>
      </c>
      <c r="I29" s="102">
        <v>4</v>
      </c>
      <c r="J29" s="102">
        <v>4.25</v>
      </c>
      <c r="K29" s="102">
        <v>4.25</v>
      </c>
      <c r="L29" s="102">
        <v>4.5</v>
      </c>
      <c r="M29" s="102">
        <v>4.5</v>
      </c>
      <c r="N29" s="102">
        <v>4.7</v>
      </c>
      <c r="O29" s="102">
        <v>4.7</v>
      </c>
      <c r="Q29" s="102" t="s">
        <v>81</v>
      </c>
      <c r="R29" s="102">
        <v>3.55</v>
      </c>
      <c r="S29" s="102">
        <v>3.55</v>
      </c>
      <c r="T29" s="102">
        <v>3.8</v>
      </c>
      <c r="U29" s="102">
        <v>3.8</v>
      </c>
      <c r="V29" s="102">
        <v>3.95</v>
      </c>
      <c r="W29" s="102">
        <v>3.95</v>
      </c>
      <c r="X29" s="102">
        <v>4.1500000000000004</v>
      </c>
      <c r="Y29" s="102">
        <v>4.1500000000000004</v>
      </c>
      <c r="AA29" s="102" t="s">
        <v>81</v>
      </c>
      <c r="AB29" s="102">
        <v>5.25</v>
      </c>
      <c r="AC29" s="102">
        <v>5.65</v>
      </c>
      <c r="AD29" s="102">
        <v>5.4</v>
      </c>
      <c r="AE29" s="102">
        <v>6</v>
      </c>
      <c r="AF29" s="102">
        <v>5.7</v>
      </c>
      <c r="AG29" s="102">
        <v>6.05</v>
      </c>
      <c r="AH29" s="102">
        <v>5.85</v>
      </c>
      <c r="AI29" s="102">
        <v>6.35</v>
      </c>
      <c r="AK29" s="102" t="s">
        <v>81</v>
      </c>
      <c r="AL29" s="102">
        <v>4.5999999999999996</v>
      </c>
      <c r="AM29" s="102">
        <v>4.7</v>
      </c>
      <c r="AN29" s="102">
        <v>5.25</v>
      </c>
      <c r="AO29" s="102">
        <v>5.55</v>
      </c>
      <c r="AP29" s="102">
        <v>5.35</v>
      </c>
      <c r="AQ29" s="102">
        <v>5.6</v>
      </c>
      <c r="AR29" s="102">
        <v>5.35</v>
      </c>
      <c r="AS29" s="102">
        <v>5.6</v>
      </c>
      <c r="AU29" s="102" t="s">
        <v>81</v>
      </c>
      <c r="AV29" s="102">
        <v>6.4</v>
      </c>
      <c r="AW29" s="102">
        <v>6.85</v>
      </c>
      <c r="AX29" s="102">
        <v>6.65</v>
      </c>
      <c r="AY29" s="102">
        <v>7</v>
      </c>
      <c r="AZ29" s="102">
        <v>6.65</v>
      </c>
      <c r="BA29" s="102">
        <v>7.15</v>
      </c>
      <c r="BB29" s="102">
        <v>6.9</v>
      </c>
      <c r="BC29" s="102">
        <v>7.4</v>
      </c>
      <c r="BE29" s="102" t="s">
        <v>81</v>
      </c>
      <c r="BF29" s="102">
        <v>5.7</v>
      </c>
      <c r="BG29" s="102">
        <v>5.85</v>
      </c>
      <c r="BH29" s="102">
        <v>5.55</v>
      </c>
      <c r="BI29" s="102">
        <v>5.85</v>
      </c>
      <c r="BJ29" s="102">
        <v>5.5</v>
      </c>
      <c r="BK29" s="102">
        <v>5.75</v>
      </c>
      <c r="BL29" s="102">
        <v>5.45</v>
      </c>
      <c r="BM29" s="102">
        <v>5.6</v>
      </c>
    </row>
    <row r="30" spans="7:65" hidden="1" x14ac:dyDescent="0.2">
      <c r="G30" s="102" t="s">
        <v>44</v>
      </c>
      <c r="H30" s="102">
        <v>3.85</v>
      </c>
      <c r="I30" s="102">
        <v>3.85</v>
      </c>
      <c r="J30" s="102">
        <v>4.05</v>
      </c>
      <c r="K30" s="102">
        <v>4.05</v>
      </c>
      <c r="L30" s="102">
        <v>4.3</v>
      </c>
      <c r="M30" s="102">
        <v>4.3</v>
      </c>
      <c r="N30" s="102">
        <v>4.5</v>
      </c>
      <c r="O30" s="102">
        <v>4.5</v>
      </c>
      <c r="Q30" s="102" t="s">
        <v>44</v>
      </c>
      <c r="R30" s="102">
        <v>3.3</v>
      </c>
      <c r="S30" s="102">
        <v>3.3</v>
      </c>
      <c r="T30" s="102">
        <v>3.5</v>
      </c>
      <c r="U30" s="102">
        <v>3.5</v>
      </c>
      <c r="V30" s="102">
        <v>3.75</v>
      </c>
      <c r="W30" s="102">
        <v>3.75</v>
      </c>
      <c r="X30" s="102">
        <v>3.95</v>
      </c>
      <c r="Y30" s="102">
        <v>3.95</v>
      </c>
      <c r="AA30" s="102" t="s">
        <v>44</v>
      </c>
      <c r="AB30" s="102">
        <v>5.05</v>
      </c>
      <c r="AC30" s="102">
        <v>5.45</v>
      </c>
      <c r="AD30" s="102">
        <v>5.2</v>
      </c>
      <c r="AE30" s="102">
        <v>5.8</v>
      </c>
      <c r="AF30" s="102">
        <v>5.5</v>
      </c>
      <c r="AG30" s="102">
        <v>5.95</v>
      </c>
      <c r="AH30" s="102">
        <v>5.65</v>
      </c>
      <c r="AI30" s="102">
        <v>6.15</v>
      </c>
      <c r="AK30" s="102" t="s">
        <v>44</v>
      </c>
      <c r="AL30" s="102">
        <v>4.0999999999999996</v>
      </c>
      <c r="AM30" s="102">
        <v>4.0999999999999996</v>
      </c>
      <c r="AN30" s="102">
        <v>5.05</v>
      </c>
      <c r="AO30" s="102">
        <v>5.35</v>
      </c>
      <c r="AP30" s="102">
        <v>5.15</v>
      </c>
      <c r="AQ30" s="102">
        <v>5.4</v>
      </c>
      <c r="AR30" s="102">
        <v>5.15</v>
      </c>
      <c r="AS30" s="102">
        <v>5.4</v>
      </c>
      <c r="AU30" s="102" t="s">
        <v>44</v>
      </c>
      <c r="AV30" s="102">
        <v>6.05</v>
      </c>
      <c r="AW30" s="102">
        <v>6.6</v>
      </c>
      <c r="AX30" s="102">
        <v>6.25</v>
      </c>
      <c r="AY30" s="102">
        <v>6.8</v>
      </c>
      <c r="AZ30" s="102">
        <v>6.35</v>
      </c>
      <c r="BA30" s="102">
        <v>6.95</v>
      </c>
      <c r="BB30" s="102">
        <v>6.5</v>
      </c>
      <c r="BC30" s="102">
        <v>7.1</v>
      </c>
      <c r="BE30" s="102" t="s">
        <v>44</v>
      </c>
      <c r="BF30" s="102">
        <v>5.4</v>
      </c>
      <c r="BG30" s="102">
        <v>5.7</v>
      </c>
      <c r="BH30" s="102">
        <v>5.35</v>
      </c>
      <c r="BI30" s="102">
        <v>5.65</v>
      </c>
      <c r="BJ30" s="102">
        <v>5.3</v>
      </c>
      <c r="BK30" s="102">
        <v>5.6</v>
      </c>
      <c r="BL30" s="102">
        <v>5.25</v>
      </c>
      <c r="BM30" s="102">
        <v>5.55</v>
      </c>
    </row>
    <row r="31" spans="7:65" hidden="1" x14ac:dyDescent="0.2">
      <c r="G31" s="102" t="s">
        <v>67</v>
      </c>
      <c r="H31" s="102">
        <v>2.95</v>
      </c>
      <c r="I31" s="102">
        <v>2.95</v>
      </c>
      <c r="J31" s="102">
        <v>3.15</v>
      </c>
      <c r="K31" s="102">
        <v>3.15</v>
      </c>
      <c r="L31" s="102">
        <v>3.35</v>
      </c>
      <c r="M31" s="102">
        <v>3.35</v>
      </c>
      <c r="N31" s="102">
        <v>3.55</v>
      </c>
      <c r="O31" s="102">
        <v>3.55</v>
      </c>
      <c r="Q31" s="102" t="s">
        <v>67</v>
      </c>
      <c r="R31" s="102">
        <v>2.95</v>
      </c>
      <c r="S31" s="102">
        <v>2.95</v>
      </c>
      <c r="T31" s="102">
        <v>3.15</v>
      </c>
      <c r="U31" s="102">
        <v>3.15</v>
      </c>
      <c r="V31" s="102">
        <v>3.35</v>
      </c>
      <c r="W31" s="102">
        <v>3.35</v>
      </c>
      <c r="X31" s="102">
        <v>3.55</v>
      </c>
      <c r="Y31" s="102">
        <v>3.55</v>
      </c>
      <c r="AA31" s="102" t="s">
        <v>67</v>
      </c>
      <c r="AB31" s="102">
        <v>4.8</v>
      </c>
      <c r="AC31" s="102">
        <v>4.9000000000000004</v>
      </c>
      <c r="AD31" s="102">
        <v>5.0999999999999996</v>
      </c>
      <c r="AE31" s="102">
        <v>5.55</v>
      </c>
      <c r="AF31" s="102">
        <v>5.25</v>
      </c>
      <c r="AG31" s="102">
        <v>5.7</v>
      </c>
      <c r="AH31" s="102">
        <v>5.4</v>
      </c>
      <c r="AI31" s="102">
        <v>5.9</v>
      </c>
      <c r="AK31" s="102" t="s">
        <v>67</v>
      </c>
      <c r="AL31" s="102">
        <v>3.7</v>
      </c>
      <c r="AM31" s="102">
        <v>3.7</v>
      </c>
      <c r="AN31" s="102">
        <v>4.8499999999999996</v>
      </c>
      <c r="AO31" s="102">
        <v>5.0999999999999996</v>
      </c>
      <c r="AP31" s="102">
        <v>4.95</v>
      </c>
      <c r="AQ31" s="102">
        <v>5.2</v>
      </c>
      <c r="AR31" s="102">
        <v>5</v>
      </c>
      <c r="AS31" s="102">
        <v>5.2</v>
      </c>
      <c r="AU31" s="102" t="s">
        <v>67</v>
      </c>
      <c r="AV31" s="102">
        <v>5.8</v>
      </c>
      <c r="AW31" s="102">
        <v>6.3</v>
      </c>
      <c r="AX31" s="102">
        <v>6</v>
      </c>
      <c r="AY31" s="102">
        <v>6.55</v>
      </c>
      <c r="AZ31" s="102">
        <v>6.1</v>
      </c>
      <c r="BA31" s="102">
        <v>6.65</v>
      </c>
      <c r="BB31" s="102">
        <v>6.25</v>
      </c>
      <c r="BC31" s="102">
        <v>6.75</v>
      </c>
      <c r="BE31" s="102" t="s">
        <v>67</v>
      </c>
      <c r="BF31" s="102">
        <v>5.2</v>
      </c>
      <c r="BG31" s="102">
        <v>5.5</v>
      </c>
      <c r="BH31" s="102">
        <v>5.2</v>
      </c>
      <c r="BI31" s="102">
        <v>5.45</v>
      </c>
      <c r="BJ31" s="102">
        <v>5.15</v>
      </c>
      <c r="BK31" s="102">
        <v>5.4</v>
      </c>
      <c r="BL31" s="102">
        <v>5.0999999999999996</v>
      </c>
      <c r="BM31" s="102">
        <v>5.35</v>
      </c>
    </row>
    <row r="32" spans="7:65" hidden="1" x14ac:dyDescent="0.2">
      <c r="G32" s="102" t="s">
        <v>168</v>
      </c>
      <c r="H32" s="102">
        <v>4.9000000000000004</v>
      </c>
      <c r="I32" s="102">
        <v>4.9000000000000004</v>
      </c>
      <c r="J32" s="102">
        <v>5.15</v>
      </c>
      <c r="K32" s="102">
        <v>5.15</v>
      </c>
      <c r="L32" s="102">
        <v>5.4</v>
      </c>
      <c r="M32" s="102">
        <v>5.4</v>
      </c>
      <c r="N32" s="102">
        <v>5.65</v>
      </c>
      <c r="O32" s="102">
        <v>5.65</v>
      </c>
      <c r="Q32" s="102" t="s">
        <v>168</v>
      </c>
      <c r="R32" s="102">
        <v>4.25</v>
      </c>
      <c r="S32" s="102">
        <v>4.25</v>
      </c>
      <c r="T32" s="102">
        <v>4.45</v>
      </c>
      <c r="U32" s="102">
        <v>4.45</v>
      </c>
      <c r="V32" s="102">
        <v>4.7</v>
      </c>
      <c r="W32" s="102">
        <v>4.7</v>
      </c>
      <c r="X32" s="102">
        <v>4.7</v>
      </c>
      <c r="Y32" s="102">
        <v>4.9000000000000004</v>
      </c>
      <c r="AA32" s="102" t="s">
        <v>168</v>
      </c>
      <c r="AB32" s="102">
        <v>5.9</v>
      </c>
      <c r="AC32" s="102">
        <v>6.15</v>
      </c>
      <c r="AD32" s="102">
        <v>6.3</v>
      </c>
      <c r="AE32" s="102">
        <v>6.55</v>
      </c>
      <c r="AF32" s="102">
        <v>6.45</v>
      </c>
      <c r="AG32" s="102">
        <v>6.7</v>
      </c>
      <c r="AH32" s="102">
        <v>6.6</v>
      </c>
      <c r="AI32" s="102">
        <v>6.85</v>
      </c>
      <c r="AK32" s="102" t="s">
        <v>168</v>
      </c>
      <c r="AL32" s="102">
        <v>4.9000000000000004</v>
      </c>
      <c r="AM32" s="102">
        <v>5.2</v>
      </c>
      <c r="AN32" s="102">
        <v>5.65</v>
      </c>
      <c r="AO32" s="102">
        <v>6</v>
      </c>
      <c r="AP32" s="102">
        <v>5.65</v>
      </c>
      <c r="AQ32" s="102">
        <v>5.95</v>
      </c>
      <c r="AR32" s="102">
        <v>5.6</v>
      </c>
      <c r="AS32" s="102">
        <v>5.9</v>
      </c>
      <c r="AU32" s="102" t="s">
        <v>168</v>
      </c>
      <c r="AV32" s="102">
        <v>7.1</v>
      </c>
      <c r="AW32" s="102">
        <v>7.35</v>
      </c>
      <c r="AX32" s="102">
        <v>7.25</v>
      </c>
      <c r="AY32" s="102">
        <v>7.55</v>
      </c>
      <c r="AZ32" s="102">
        <v>7.35</v>
      </c>
      <c r="BA32" s="102">
        <v>7.7</v>
      </c>
      <c r="BB32" s="102">
        <v>7.4</v>
      </c>
      <c r="BC32" s="102">
        <v>7.85</v>
      </c>
      <c r="BE32" s="102" t="s">
        <v>168</v>
      </c>
      <c r="BF32" s="102">
        <v>5.85</v>
      </c>
      <c r="BG32" s="102">
        <v>6.05</v>
      </c>
      <c r="BH32" s="102">
        <v>5.75</v>
      </c>
      <c r="BI32" s="102">
        <v>5.9</v>
      </c>
      <c r="BJ32" s="102">
        <v>5.7</v>
      </c>
      <c r="BK32" s="102">
        <v>5.75</v>
      </c>
      <c r="BL32" s="102">
        <v>5.6</v>
      </c>
      <c r="BM32" s="102">
        <v>5.6</v>
      </c>
    </row>
    <row r="33" spans="5:65" hidden="1" x14ac:dyDescent="0.2">
      <c r="G33" s="102" t="s">
        <v>50</v>
      </c>
      <c r="H33" s="102">
        <v>4.55</v>
      </c>
      <c r="I33" s="102">
        <v>4.55</v>
      </c>
      <c r="J33" s="102">
        <v>4.8</v>
      </c>
      <c r="K33" s="102">
        <v>4.8</v>
      </c>
      <c r="L33" s="102">
        <v>5.05</v>
      </c>
      <c r="M33" s="102">
        <v>5.05</v>
      </c>
      <c r="N33" s="102">
        <v>5.3</v>
      </c>
      <c r="O33" s="102">
        <v>5.3</v>
      </c>
      <c r="Q33" s="102" t="s">
        <v>50</v>
      </c>
      <c r="R33" s="102">
        <v>3.9</v>
      </c>
      <c r="S33" s="102">
        <v>3.9</v>
      </c>
      <c r="T33" s="102">
        <v>4.1500000000000004</v>
      </c>
      <c r="U33" s="102">
        <v>4.1500000000000004</v>
      </c>
      <c r="V33" s="102">
        <v>4.4000000000000004</v>
      </c>
      <c r="W33" s="102">
        <v>4.4000000000000004</v>
      </c>
      <c r="X33" s="102">
        <v>4.5999999999999996</v>
      </c>
      <c r="Y33" s="102">
        <v>4.5999999999999996</v>
      </c>
      <c r="AA33" s="102" t="s">
        <v>50</v>
      </c>
      <c r="AB33" s="102">
        <v>5.7</v>
      </c>
      <c r="AC33" s="102">
        <v>5.95</v>
      </c>
      <c r="AD33" s="102">
        <v>6.05</v>
      </c>
      <c r="AE33" s="102">
        <v>6.3</v>
      </c>
      <c r="AF33" s="102">
        <v>6.2</v>
      </c>
      <c r="AG33" s="102">
        <v>6.45</v>
      </c>
      <c r="AH33" s="102">
        <v>6.35</v>
      </c>
      <c r="AI33" s="102">
        <v>6.65</v>
      </c>
      <c r="AK33" s="102" t="s">
        <v>50</v>
      </c>
      <c r="AL33" s="102">
        <v>4.8</v>
      </c>
      <c r="AM33" s="102">
        <v>4.8499999999999996</v>
      </c>
      <c r="AN33" s="102">
        <v>5.45</v>
      </c>
      <c r="AO33" s="102">
        <v>5.7</v>
      </c>
      <c r="AP33" s="102">
        <v>5.5</v>
      </c>
      <c r="AQ33" s="102">
        <v>5.8</v>
      </c>
      <c r="AR33" s="102">
        <v>5.45</v>
      </c>
      <c r="AS33" s="102">
        <v>5.75</v>
      </c>
      <c r="AU33" s="102" t="s">
        <v>50</v>
      </c>
      <c r="AV33" s="102">
        <v>6.85</v>
      </c>
      <c r="AW33" s="102">
        <v>7.15</v>
      </c>
      <c r="AX33" s="102">
        <v>7</v>
      </c>
      <c r="AY33" s="102">
        <v>7.35</v>
      </c>
      <c r="AZ33" s="102">
        <v>7.1</v>
      </c>
      <c r="BA33" s="102">
        <v>7.5</v>
      </c>
      <c r="BB33" s="102">
        <v>7.2</v>
      </c>
      <c r="BC33" s="102">
        <v>7.6</v>
      </c>
      <c r="BE33" s="102" t="s">
        <v>50</v>
      </c>
      <c r="BF33" s="102">
        <v>6.05</v>
      </c>
      <c r="BG33" s="102">
        <v>6.05</v>
      </c>
      <c r="BH33" s="102">
        <v>5.65</v>
      </c>
      <c r="BI33" s="102">
        <v>5.9</v>
      </c>
      <c r="BJ33" s="102">
        <v>5.6</v>
      </c>
      <c r="BK33" s="102">
        <v>5.75</v>
      </c>
      <c r="BL33" s="102">
        <v>5.6</v>
      </c>
      <c r="BM33" s="102">
        <v>5.6</v>
      </c>
    </row>
    <row r="34" spans="5:65" hidden="1" x14ac:dyDescent="0.2">
      <c r="G34" s="102" t="s">
        <v>76</v>
      </c>
      <c r="H34" s="102">
        <v>4.25</v>
      </c>
      <c r="I34" s="102">
        <v>4.25</v>
      </c>
      <c r="J34" s="102">
        <v>4.5</v>
      </c>
      <c r="K34" s="102">
        <v>4.5</v>
      </c>
      <c r="L34" s="102">
        <v>4.75</v>
      </c>
      <c r="M34" s="102">
        <v>4.75</v>
      </c>
      <c r="N34" s="102">
        <v>4.95</v>
      </c>
      <c r="O34" s="102">
        <v>4.95</v>
      </c>
      <c r="Q34" s="102" t="s">
        <v>76</v>
      </c>
      <c r="R34" s="102">
        <v>3.7</v>
      </c>
      <c r="S34" s="102">
        <v>3.7</v>
      </c>
      <c r="T34" s="102">
        <v>3.9</v>
      </c>
      <c r="U34" s="102">
        <v>3.9</v>
      </c>
      <c r="V34" s="102">
        <v>4.0999999999999996</v>
      </c>
      <c r="W34" s="102">
        <v>4.0999999999999996</v>
      </c>
      <c r="X34" s="102">
        <v>4.3</v>
      </c>
      <c r="Y34" s="102">
        <v>4.3</v>
      </c>
      <c r="AA34" s="102" t="s">
        <v>76</v>
      </c>
      <c r="AB34" s="102">
        <v>5.5</v>
      </c>
      <c r="AC34" s="102">
        <v>5.75</v>
      </c>
      <c r="AD34" s="102">
        <v>5.85</v>
      </c>
      <c r="AE34" s="102">
        <v>6.15</v>
      </c>
      <c r="AF34" s="102">
        <v>6</v>
      </c>
      <c r="AG34" s="102">
        <v>6.3</v>
      </c>
      <c r="AH34" s="102">
        <v>6.15</v>
      </c>
      <c r="AI34" s="102">
        <v>6.45</v>
      </c>
      <c r="AK34" s="102" t="s">
        <v>76</v>
      </c>
      <c r="AL34" s="102">
        <v>4.55</v>
      </c>
      <c r="AM34" s="102">
        <v>4.55</v>
      </c>
      <c r="AN34" s="102">
        <v>5.3</v>
      </c>
      <c r="AO34" s="102">
        <v>5.6</v>
      </c>
      <c r="AP34" s="102">
        <v>5.35</v>
      </c>
      <c r="AQ34" s="102">
        <v>5.65</v>
      </c>
      <c r="AR34" s="102">
        <v>5.35</v>
      </c>
      <c r="AS34" s="102">
        <v>5.65</v>
      </c>
      <c r="AU34" s="102" t="s">
        <v>76</v>
      </c>
      <c r="AV34" s="102">
        <v>6.6</v>
      </c>
      <c r="AW34" s="102">
        <v>6.95</v>
      </c>
      <c r="AX34" s="102">
        <v>6.8</v>
      </c>
      <c r="AY34" s="102">
        <v>7.15</v>
      </c>
      <c r="AZ34" s="102">
        <v>6.9</v>
      </c>
      <c r="BA34" s="102">
        <v>7.3</v>
      </c>
      <c r="BB34" s="102">
        <v>7</v>
      </c>
      <c r="BC34" s="102">
        <v>7.4</v>
      </c>
      <c r="BE34" s="102" t="s">
        <v>76</v>
      </c>
      <c r="BF34" s="102">
        <v>5.6</v>
      </c>
      <c r="BG34" s="102">
        <v>5.9</v>
      </c>
      <c r="BH34" s="102">
        <v>5.55</v>
      </c>
      <c r="BI34" s="102">
        <v>5.85</v>
      </c>
      <c r="BJ34" s="102">
        <v>5.5</v>
      </c>
      <c r="BK34" s="102">
        <v>5.75</v>
      </c>
      <c r="BL34" s="102">
        <v>5.6</v>
      </c>
      <c r="BM34" s="102">
        <v>5.6</v>
      </c>
    </row>
    <row r="35" spans="5:65" hidden="1" x14ac:dyDescent="0.2">
      <c r="G35" s="102" t="s">
        <v>77</v>
      </c>
      <c r="H35" s="102">
        <v>4</v>
      </c>
      <c r="I35" s="102">
        <v>4</v>
      </c>
      <c r="J35" s="102">
        <v>4.25</v>
      </c>
      <c r="K35" s="102">
        <v>4.25</v>
      </c>
      <c r="L35" s="102">
        <v>4.45</v>
      </c>
      <c r="M35" s="102">
        <v>4.45</v>
      </c>
      <c r="N35" s="102">
        <v>4.7</v>
      </c>
      <c r="O35" s="102">
        <v>4.7</v>
      </c>
      <c r="Q35" s="102" t="s">
        <v>77</v>
      </c>
      <c r="R35" s="102">
        <v>3.45</v>
      </c>
      <c r="S35" s="102">
        <v>3.45</v>
      </c>
      <c r="T35" s="102">
        <v>3.65</v>
      </c>
      <c r="U35" s="102">
        <v>3.65</v>
      </c>
      <c r="V35" s="102">
        <v>3.85</v>
      </c>
      <c r="W35" s="102">
        <v>3.85</v>
      </c>
      <c r="X35" s="102">
        <v>4.0999999999999996</v>
      </c>
      <c r="Y35" s="102">
        <v>4.0999999999999996</v>
      </c>
      <c r="AA35" s="102" t="s">
        <v>77</v>
      </c>
      <c r="AB35" s="102">
        <v>5.35</v>
      </c>
      <c r="AC35" s="102">
        <v>5.6</v>
      </c>
      <c r="AD35" s="102">
        <v>5.7</v>
      </c>
      <c r="AE35" s="102">
        <v>6</v>
      </c>
      <c r="AF35" s="102">
        <v>5.8</v>
      </c>
      <c r="AG35" s="102">
        <v>6.1</v>
      </c>
      <c r="AH35" s="102">
        <v>6</v>
      </c>
      <c r="AI35" s="102">
        <v>6.3</v>
      </c>
      <c r="AK35" s="102" t="s">
        <v>77</v>
      </c>
      <c r="AL35" s="102">
        <v>4.25</v>
      </c>
      <c r="AM35" s="102">
        <v>4.25</v>
      </c>
      <c r="AN35" s="102">
        <v>5.15</v>
      </c>
      <c r="AO35" s="102">
        <v>5.45</v>
      </c>
      <c r="AP35" s="102">
        <v>5.25</v>
      </c>
      <c r="AQ35" s="102">
        <v>5.55</v>
      </c>
      <c r="AR35" s="102">
        <v>5.25</v>
      </c>
      <c r="AS35" s="102">
        <v>5.55</v>
      </c>
      <c r="AU35" s="102" t="s">
        <v>77</v>
      </c>
      <c r="AV35" s="102">
        <v>6.4</v>
      </c>
      <c r="AW35" s="102">
        <v>6.75</v>
      </c>
      <c r="AX35" s="102">
        <v>6.6</v>
      </c>
      <c r="AY35" s="102">
        <v>7</v>
      </c>
      <c r="AZ35" s="102">
        <v>6.7</v>
      </c>
      <c r="BA35" s="102">
        <v>7.1</v>
      </c>
      <c r="BB35" s="102">
        <v>6.85</v>
      </c>
      <c r="BC35" s="102">
        <v>7.2</v>
      </c>
      <c r="BE35" s="102" t="s">
        <v>77</v>
      </c>
      <c r="BF35" s="102">
        <v>5.5</v>
      </c>
      <c r="BG35" s="102">
        <v>5.8</v>
      </c>
      <c r="BH35" s="102">
        <v>5.45</v>
      </c>
      <c r="BI35" s="102">
        <v>5.75</v>
      </c>
      <c r="BJ35" s="102">
        <v>5.4</v>
      </c>
      <c r="BK35" s="102">
        <v>5.7</v>
      </c>
      <c r="BL35" s="102">
        <v>5.35</v>
      </c>
      <c r="BM35" s="102">
        <v>5.6</v>
      </c>
    </row>
    <row r="36" spans="5:65" hidden="1" x14ac:dyDescent="0.2">
      <c r="G36" s="102" t="s">
        <v>46</v>
      </c>
      <c r="H36" s="102">
        <v>3.8</v>
      </c>
      <c r="I36" s="102">
        <v>3.8</v>
      </c>
      <c r="J36" s="102">
        <v>4</v>
      </c>
      <c r="K36" s="102">
        <v>4</v>
      </c>
      <c r="L36" s="102">
        <v>4.2</v>
      </c>
      <c r="M36" s="102">
        <v>4.2</v>
      </c>
      <c r="N36" s="102">
        <v>4.45</v>
      </c>
      <c r="O36" s="102">
        <v>4.45</v>
      </c>
      <c r="Q36" s="102" t="s">
        <v>46</v>
      </c>
      <c r="R36" s="102">
        <v>3.25</v>
      </c>
      <c r="S36" s="102">
        <v>3.25</v>
      </c>
      <c r="T36" s="102">
        <v>3.45</v>
      </c>
      <c r="U36" s="102">
        <v>3.45</v>
      </c>
      <c r="V36" s="102">
        <v>3.65</v>
      </c>
      <c r="W36" s="102">
        <v>3.65</v>
      </c>
      <c r="X36" s="102">
        <v>3.85</v>
      </c>
      <c r="Y36" s="102">
        <v>3.85</v>
      </c>
      <c r="AA36" s="102" t="s">
        <v>46</v>
      </c>
      <c r="AB36" s="102">
        <v>5.2</v>
      </c>
      <c r="AC36" s="102">
        <v>5.35</v>
      </c>
      <c r="AD36" s="102">
        <v>5.5</v>
      </c>
      <c r="AE36" s="102">
        <v>5.8</v>
      </c>
      <c r="AF36" s="102">
        <v>5.65</v>
      </c>
      <c r="AG36" s="102">
        <v>6</v>
      </c>
      <c r="AH36" s="102">
        <v>5.8</v>
      </c>
      <c r="AI36" s="102">
        <v>6.15</v>
      </c>
      <c r="AK36" s="102" t="s">
        <v>46</v>
      </c>
      <c r="AL36" s="102">
        <v>4.05</v>
      </c>
      <c r="AM36" s="102">
        <v>4.05</v>
      </c>
      <c r="AN36" s="102">
        <v>5.05</v>
      </c>
      <c r="AO36" s="102">
        <v>5.35</v>
      </c>
      <c r="AP36" s="102">
        <v>5.15</v>
      </c>
      <c r="AQ36" s="102">
        <v>5.4</v>
      </c>
      <c r="AR36" s="102">
        <v>5.15</v>
      </c>
      <c r="AS36" s="102">
        <v>5.4</v>
      </c>
      <c r="AU36" s="102" t="s">
        <v>46</v>
      </c>
      <c r="AV36" s="102">
        <v>6.25</v>
      </c>
      <c r="AW36" s="102">
        <v>6.6</v>
      </c>
      <c r="AX36" s="102">
        <v>6.4</v>
      </c>
      <c r="AY36" s="102">
        <v>6.8</v>
      </c>
      <c r="AZ36" s="102">
        <v>6.55</v>
      </c>
      <c r="BA36" s="102">
        <v>6.95</v>
      </c>
      <c r="BB36" s="102">
        <v>6.65</v>
      </c>
      <c r="BC36" s="102">
        <v>7.05</v>
      </c>
      <c r="BE36" s="102" t="s">
        <v>46</v>
      </c>
      <c r="BF36" s="102">
        <v>5.4</v>
      </c>
      <c r="BG36" s="102">
        <v>5.7</v>
      </c>
      <c r="BH36" s="102">
        <v>5.35</v>
      </c>
      <c r="BI36" s="102">
        <v>5.65</v>
      </c>
      <c r="BJ36" s="102">
        <v>5.3</v>
      </c>
      <c r="BK36" s="102">
        <v>5.6</v>
      </c>
      <c r="BL36" s="102">
        <v>5.3</v>
      </c>
      <c r="BM36" s="102">
        <v>5.55</v>
      </c>
    </row>
    <row r="37" spans="5:65" hidden="1" x14ac:dyDescent="0.2">
      <c r="G37" s="102" t="s">
        <v>82</v>
      </c>
      <c r="H37" s="102">
        <v>3.4</v>
      </c>
      <c r="I37" s="102">
        <v>3.4</v>
      </c>
      <c r="J37" s="102">
        <v>3.6</v>
      </c>
      <c r="K37" s="102">
        <v>3.6</v>
      </c>
      <c r="L37" s="102">
        <v>3.8</v>
      </c>
      <c r="M37" s="102">
        <v>3.8</v>
      </c>
      <c r="N37" s="102">
        <v>4</v>
      </c>
      <c r="O37" s="102">
        <v>4</v>
      </c>
      <c r="Q37" s="102" t="s">
        <v>82</v>
      </c>
      <c r="R37" s="102">
        <v>3</v>
      </c>
      <c r="S37" s="102">
        <v>3</v>
      </c>
      <c r="T37" s="102">
        <v>3.25</v>
      </c>
      <c r="U37" s="102">
        <v>3.25</v>
      </c>
      <c r="V37" s="102">
        <v>3.55</v>
      </c>
      <c r="W37" s="102">
        <v>3.55</v>
      </c>
      <c r="X37" s="102">
        <v>3.7</v>
      </c>
      <c r="Y37" s="102">
        <v>3.7</v>
      </c>
      <c r="AA37" s="102" t="s">
        <v>82</v>
      </c>
      <c r="AB37" s="102">
        <v>4.8</v>
      </c>
      <c r="AC37" s="102">
        <v>4.8</v>
      </c>
      <c r="AD37" s="102">
        <v>5.3</v>
      </c>
      <c r="AE37" s="102">
        <v>5.65</v>
      </c>
      <c r="AF37" s="102">
        <v>5.45</v>
      </c>
      <c r="AG37" s="102">
        <v>5.8</v>
      </c>
      <c r="AH37" s="102">
        <v>5.6</v>
      </c>
      <c r="AI37" s="102">
        <v>6</v>
      </c>
      <c r="AK37" s="102" t="s">
        <v>82</v>
      </c>
      <c r="AL37" s="102">
        <v>3.65</v>
      </c>
      <c r="AM37" s="102">
        <v>3.6</v>
      </c>
      <c r="AN37" s="102">
        <v>4.9000000000000004</v>
      </c>
      <c r="AO37" s="102">
        <v>5.15</v>
      </c>
      <c r="AP37" s="102">
        <v>5</v>
      </c>
      <c r="AQ37" s="102">
        <v>5.25</v>
      </c>
      <c r="AR37" s="102">
        <v>5</v>
      </c>
      <c r="AS37" s="102">
        <v>5.3</v>
      </c>
      <c r="AU37" s="102" t="s">
        <v>82</v>
      </c>
      <c r="AV37" s="102">
        <v>6</v>
      </c>
      <c r="AW37" s="102">
        <v>6.4</v>
      </c>
      <c r="AX37" s="102">
        <v>6.2</v>
      </c>
      <c r="AY37" s="102">
        <v>6.6</v>
      </c>
      <c r="AZ37" s="102">
        <v>6.35</v>
      </c>
      <c r="BA37" s="102">
        <v>6.65</v>
      </c>
      <c r="BB37" s="102">
        <v>6.45</v>
      </c>
      <c r="BC37" s="102">
        <v>6.7</v>
      </c>
      <c r="BE37" s="102" t="s">
        <v>82</v>
      </c>
      <c r="BF37" s="102">
        <v>5.2</v>
      </c>
      <c r="BG37" s="102">
        <v>5.5</v>
      </c>
      <c r="BH37" s="102">
        <v>5.25</v>
      </c>
      <c r="BI37" s="102">
        <v>5.55</v>
      </c>
      <c r="BJ37" s="102">
        <v>5.25</v>
      </c>
      <c r="BK37" s="102">
        <v>5.5</v>
      </c>
      <c r="BL37" s="102">
        <v>5.2</v>
      </c>
      <c r="BM37" s="102">
        <v>5.5</v>
      </c>
    </row>
    <row r="38" spans="5:65" hidden="1" x14ac:dyDescent="0.2">
      <c r="G38" s="102" t="s">
        <v>45</v>
      </c>
      <c r="H38" s="102">
        <v>3.2</v>
      </c>
      <c r="I38" s="102">
        <v>3.2</v>
      </c>
      <c r="J38" s="102">
        <v>3.4</v>
      </c>
      <c r="K38" s="102">
        <v>3.4</v>
      </c>
      <c r="L38" s="102">
        <v>3.6</v>
      </c>
      <c r="M38" s="102">
        <v>3.6</v>
      </c>
      <c r="N38" s="102">
        <v>3.8</v>
      </c>
      <c r="O38" s="102">
        <v>3.8</v>
      </c>
      <c r="Q38" s="102" t="s">
        <v>45</v>
      </c>
      <c r="R38" s="102">
        <v>2.75</v>
      </c>
      <c r="S38" s="102">
        <v>2.75</v>
      </c>
      <c r="T38" s="102">
        <v>2.95</v>
      </c>
      <c r="U38" s="102">
        <v>2.95</v>
      </c>
      <c r="V38" s="102">
        <v>3.15</v>
      </c>
      <c r="W38" s="102">
        <v>3.15</v>
      </c>
      <c r="X38" s="102">
        <v>3.3</v>
      </c>
      <c r="Y38" s="102">
        <v>3.3</v>
      </c>
      <c r="AA38" s="102" t="s">
        <v>45</v>
      </c>
      <c r="AB38" s="102">
        <v>4.5999999999999996</v>
      </c>
      <c r="AC38" s="102">
        <v>4.5999999999999996</v>
      </c>
      <c r="AD38" s="102">
        <v>5.0999999999999996</v>
      </c>
      <c r="AE38" s="102">
        <v>5.45</v>
      </c>
      <c r="AF38" s="102">
        <v>5.25</v>
      </c>
      <c r="AG38" s="102">
        <v>5.6</v>
      </c>
      <c r="AH38" s="102">
        <v>5.4</v>
      </c>
      <c r="AI38" s="102">
        <v>5.8</v>
      </c>
      <c r="AK38" s="102" t="s">
        <v>45</v>
      </c>
      <c r="AL38" s="102">
        <v>3.45</v>
      </c>
      <c r="AM38" s="102">
        <v>3.45</v>
      </c>
      <c r="AN38" s="102">
        <v>4.75</v>
      </c>
      <c r="AO38" s="102">
        <v>5</v>
      </c>
      <c r="AP38" s="102">
        <v>4.8499999999999996</v>
      </c>
      <c r="AQ38" s="102">
        <v>5.0999999999999996</v>
      </c>
      <c r="AR38" s="102">
        <v>4.8499999999999996</v>
      </c>
      <c r="AS38" s="102">
        <v>5.15</v>
      </c>
      <c r="AU38" s="102" t="s">
        <v>45</v>
      </c>
      <c r="AV38" s="102">
        <v>5.8</v>
      </c>
      <c r="AW38" s="102">
        <v>6.2</v>
      </c>
      <c r="AX38" s="102">
        <v>6</v>
      </c>
      <c r="AY38" s="102">
        <v>6.4</v>
      </c>
      <c r="AZ38" s="102">
        <v>6.1</v>
      </c>
      <c r="BA38" s="102">
        <v>6.45</v>
      </c>
      <c r="BB38" s="102">
        <v>6.25</v>
      </c>
      <c r="BC38" s="102">
        <v>6.55</v>
      </c>
      <c r="BE38" s="102" t="s">
        <v>45</v>
      </c>
      <c r="BF38" s="102">
        <v>5.0999999999999996</v>
      </c>
      <c r="BG38" s="102">
        <v>5.4</v>
      </c>
      <c r="BH38" s="102">
        <v>5.0999999999999996</v>
      </c>
      <c r="BI38" s="102">
        <v>5.4</v>
      </c>
      <c r="BJ38" s="102">
        <v>5.0999999999999996</v>
      </c>
      <c r="BK38" s="102">
        <v>5.35</v>
      </c>
      <c r="BL38" s="102">
        <v>5.05</v>
      </c>
      <c r="BM38" s="102">
        <v>5.35</v>
      </c>
    </row>
    <row r="39" spans="5:65" hidden="1" x14ac:dyDescent="0.2">
      <c r="G39" s="102" t="s">
        <v>68</v>
      </c>
      <c r="H39" s="102">
        <v>2.5</v>
      </c>
      <c r="I39" s="102">
        <v>2.5</v>
      </c>
      <c r="J39" s="102">
        <v>2.7</v>
      </c>
      <c r="K39" s="102">
        <v>2.7</v>
      </c>
      <c r="L39" s="102">
        <v>2.85</v>
      </c>
      <c r="M39" s="102">
        <v>2.85</v>
      </c>
      <c r="N39" s="102">
        <v>3.05</v>
      </c>
      <c r="O39" s="102">
        <v>3.05</v>
      </c>
      <c r="Q39" s="102" t="s">
        <v>68</v>
      </c>
      <c r="R39" s="102">
        <v>2.5</v>
      </c>
      <c r="S39" s="102">
        <v>2.5</v>
      </c>
      <c r="T39" s="102">
        <v>2.7</v>
      </c>
      <c r="U39" s="102">
        <v>2.7</v>
      </c>
      <c r="V39" s="102">
        <v>2.85</v>
      </c>
      <c r="W39" s="102">
        <v>2.85</v>
      </c>
      <c r="X39" s="102">
        <v>3.05</v>
      </c>
      <c r="Y39" s="102">
        <v>3.05</v>
      </c>
      <c r="AA39" s="102" t="s">
        <v>68</v>
      </c>
      <c r="AB39" s="102">
        <v>4.2</v>
      </c>
      <c r="AC39" s="102">
        <v>4.2</v>
      </c>
      <c r="AD39" s="102">
        <v>5.9</v>
      </c>
      <c r="AE39" s="102">
        <v>5.25</v>
      </c>
      <c r="AF39" s="102">
        <v>5.05</v>
      </c>
      <c r="AG39" s="102">
        <v>5.4</v>
      </c>
      <c r="AH39" s="102">
        <v>5.2</v>
      </c>
      <c r="AI39" s="102">
        <v>5.55</v>
      </c>
      <c r="AK39" s="102" t="s">
        <v>68</v>
      </c>
      <c r="AL39" s="102">
        <v>3.15</v>
      </c>
      <c r="AM39" s="102">
        <v>3.15</v>
      </c>
      <c r="AN39" s="102">
        <v>4.5999999999999996</v>
      </c>
      <c r="AO39" s="102">
        <v>4.8499999999999996</v>
      </c>
      <c r="AP39" s="102">
        <v>4.6500000000000004</v>
      </c>
      <c r="AQ39" s="102">
        <v>4.9000000000000004</v>
      </c>
      <c r="AR39" s="102">
        <v>4.7</v>
      </c>
      <c r="AS39" s="102">
        <v>4.95</v>
      </c>
      <c r="AU39" s="102" t="s">
        <v>68</v>
      </c>
      <c r="AV39" s="102">
        <v>5.55</v>
      </c>
      <c r="AW39" s="102">
        <v>6</v>
      </c>
      <c r="AX39" s="102">
        <v>5.7</v>
      </c>
      <c r="AY39" s="102">
        <v>6.2</v>
      </c>
      <c r="AZ39" s="102">
        <v>5.85</v>
      </c>
      <c r="BA39" s="102">
        <v>6.2</v>
      </c>
      <c r="BB39" s="102">
        <v>6</v>
      </c>
      <c r="BC39" s="102">
        <v>6.3</v>
      </c>
      <c r="BE39" s="102" t="s">
        <v>68</v>
      </c>
      <c r="BF39" s="102">
        <v>4.95</v>
      </c>
      <c r="BG39" s="102">
        <v>5.2</v>
      </c>
      <c r="BH39" s="102">
        <v>4.95</v>
      </c>
      <c r="BI39" s="102">
        <v>5.2</v>
      </c>
      <c r="BJ39" s="102">
        <v>4.95</v>
      </c>
      <c r="BK39" s="102">
        <v>5.2</v>
      </c>
      <c r="BL39" s="102">
        <v>4.95</v>
      </c>
      <c r="BM39" s="102">
        <v>5.2</v>
      </c>
    </row>
    <row r="40" spans="5:65" hidden="1" x14ac:dyDescent="0.2">
      <c r="G40" s="102" t="s">
        <v>71</v>
      </c>
      <c r="H40" s="137">
        <v>180</v>
      </c>
      <c r="I40" s="137"/>
      <c r="J40" s="137">
        <v>200</v>
      </c>
      <c r="K40" s="137"/>
      <c r="L40" s="137">
        <v>225</v>
      </c>
      <c r="M40" s="137"/>
      <c r="N40" s="137">
        <v>250</v>
      </c>
      <c r="O40" s="137"/>
      <c r="R40" s="137">
        <v>170</v>
      </c>
      <c r="S40" s="137"/>
      <c r="T40" s="137">
        <v>195</v>
      </c>
      <c r="U40" s="137"/>
      <c r="V40" s="137">
        <v>215</v>
      </c>
      <c r="W40" s="137"/>
      <c r="X40" s="137">
        <v>240</v>
      </c>
      <c r="Y40" s="137"/>
      <c r="AB40" s="102">
        <v>210</v>
      </c>
      <c r="AD40" s="102">
        <v>235</v>
      </c>
      <c r="AF40" s="102">
        <v>260</v>
      </c>
      <c r="AH40" s="102">
        <v>280</v>
      </c>
      <c r="AL40" s="102">
        <v>200</v>
      </c>
      <c r="AN40" s="102">
        <v>235</v>
      </c>
      <c r="AP40" s="102">
        <v>260</v>
      </c>
      <c r="AR40" s="102">
        <v>280</v>
      </c>
      <c r="AV40" s="137">
        <v>271</v>
      </c>
      <c r="AW40" s="137"/>
      <c r="AX40" s="137">
        <v>294</v>
      </c>
      <c r="AY40" s="137"/>
      <c r="AZ40" s="137">
        <v>317</v>
      </c>
      <c r="BA40" s="137"/>
      <c r="BB40" s="137">
        <v>340</v>
      </c>
      <c r="BC40" s="137"/>
      <c r="BF40" s="137">
        <v>271</v>
      </c>
      <c r="BG40" s="137"/>
      <c r="BH40" s="137">
        <v>294</v>
      </c>
      <c r="BI40" s="137"/>
      <c r="BJ40" s="137">
        <v>317</v>
      </c>
      <c r="BK40" s="137"/>
      <c r="BL40" s="137">
        <v>340</v>
      </c>
      <c r="BM40" s="137"/>
    </row>
    <row r="41" spans="5:65" hidden="1" x14ac:dyDescent="0.2">
      <c r="G41" s="102" t="s">
        <v>72</v>
      </c>
      <c r="H41" s="137">
        <v>62</v>
      </c>
      <c r="I41" s="137"/>
      <c r="J41" s="137">
        <v>72</v>
      </c>
      <c r="K41" s="137"/>
      <c r="L41" s="137">
        <v>82</v>
      </c>
      <c r="M41" s="137"/>
      <c r="N41" s="137">
        <v>92</v>
      </c>
      <c r="O41" s="137"/>
      <c r="R41" s="137">
        <v>60</v>
      </c>
      <c r="S41" s="137"/>
      <c r="T41" s="137">
        <v>70</v>
      </c>
      <c r="U41" s="137"/>
      <c r="V41" s="137">
        <v>80</v>
      </c>
      <c r="W41" s="137"/>
      <c r="X41" s="137">
        <v>90</v>
      </c>
      <c r="Y41" s="137"/>
      <c r="AB41" s="102">
        <v>73</v>
      </c>
      <c r="AD41" s="102">
        <v>80</v>
      </c>
      <c r="AF41" s="102">
        <v>88</v>
      </c>
      <c r="AH41" s="102">
        <v>98</v>
      </c>
      <c r="AL41" s="102">
        <v>73</v>
      </c>
      <c r="AN41" s="102">
        <v>78</v>
      </c>
      <c r="AP41" s="102">
        <v>88</v>
      </c>
      <c r="AR41" s="102">
        <v>98</v>
      </c>
      <c r="AV41" s="137">
        <v>91</v>
      </c>
      <c r="AW41" s="137"/>
      <c r="AX41" s="137">
        <v>102</v>
      </c>
      <c r="AY41" s="137"/>
      <c r="AZ41" s="137">
        <v>111</v>
      </c>
      <c r="BA41" s="137"/>
      <c r="BB41" s="137">
        <v>121</v>
      </c>
      <c r="BC41" s="137"/>
      <c r="BF41" s="137">
        <v>91</v>
      </c>
      <c r="BG41" s="137"/>
      <c r="BH41" s="137">
        <v>101</v>
      </c>
      <c r="BI41" s="137"/>
      <c r="BJ41" s="137">
        <v>111</v>
      </c>
      <c r="BK41" s="137"/>
      <c r="BL41" s="137">
        <v>121</v>
      </c>
      <c r="BM41" s="137"/>
    </row>
    <row r="42" spans="5:65" hidden="1" x14ac:dyDescent="0.2">
      <c r="E42" s="102" t="s">
        <v>49</v>
      </c>
      <c r="G42" s="102" t="str">
        <f>+DIM!$AK$20&amp;"+"&amp;DIM!$S$14</f>
        <v>251+150</v>
      </c>
      <c r="H42" s="106">
        <f>+VLOOKUP($G$42,$G$16:$O$39,2,FALSE)</f>
        <v>5.05</v>
      </c>
      <c r="I42" s="106">
        <f>+VLOOKUP($G$42,$G$16:$O$39,3,FALSE)</f>
        <v>5.5</v>
      </c>
      <c r="J42" s="106">
        <f>+VLOOKUP($G$42,$G$16:$O$39,4,FALSE)</f>
        <v>5.25</v>
      </c>
      <c r="K42" s="106">
        <f>+VLOOKUP($G$42,$G$16:$O$39,5,FALSE)</f>
        <v>5.7</v>
      </c>
      <c r="L42" s="106">
        <f>+VLOOKUP($G$42,$G$16:$O$39,6,FALSE)</f>
        <v>5.4</v>
      </c>
      <c r="M42" s="106">
        <f>+VLOOKUP($G$42,$G$16:$O$39,7,FALSE)</f>
        <v>5.9</v>
      </c>
      <c r="N42" s="106">
        <f>+VLOOKUP($G$42,$G$16:$O$39,8,FALSE)</f>
        <v>5.6</v>
      </c>
      <c r="O42" s="106">
        <f>+VLOOKUP($G$42,$G$16:$O$39,9,FALSE)</f>
        <v>6.15</v>
      </c>
      <c r="Q42" s="102" t="str">
        <f>+DIM!$AK$20&amp;"+"&amp;DIM!$S$14</f>
        <v>251+150</v>
      </c>
      <c r="R42" s="106">
        <f>+VLOOKUP($Q$42,$Q$16:$Y$39,2,FALSE)</f>
        <v>4.8</v>
      </c>
      <c r="S42" s="106">
        <f>+VLOOKUP($Q$42,$Q$16:$Y$39,3,FALSE)</f>
        <v>4.8</v>
      </c>
      <c r="T42" s="106">
        <f>+VLOOKUP($Q$42,$Q$16:$Y$39,4,FALSE)</f>
        <v>4.9000000000000004</v>
      </c>
      <c r="U42" s="106">
        <f>+VLOOKUP($Q$42,$Q$16:$Y$39,5,FALSE)</f>
        <v>5.05</v>
      </c>
      <c r="V42" s="106">
        <f>+VLOOKUP($Q$42,$Q$16:$Y$39,6,FALSE)</f>
        <v>4.8499999999999996</v>
      </c>
      <c r="W42" s="106">
        <f>+VLOOKUP($Q$42,$Q$16:$Y$39,7,FALSE)</f>
        <v>5.0999999999999996</v>
      </c>
      <c r="X42" s="106">
        <f>+VLOOKUP($Q$42,$Q$16:$Y$39,8,FALSE)</f>
        <v>4.75</v>
      </c>
      <c r="Y42" s="106">
        <f>+VLOOKUP($Q$42,$Q$16:$Y$39,9,FALSE)</f>
        <v>4.95</v>
      </c>
      <c r="AA42" s="102" t="str">
        <f>+DIM!$AK$20&amp;"+"&amp;DIM!$S$14</f>
        <v>251+150</v>
      </c>
      <c r="AB42" s="106">
        <f>+VLOOKUP($AA$42,$AA$16:$AI$41,2,FALSE)</f>
        <v>5.8</v>
      </c>
      <c r="AC42" s="106">
        <f>+VLOOKUP($AA$42,$AA$16:$AI$41,3,FALSE)</f>
        <v>6.3</v>
      </c>
      <c r="AD42" s="106">
        <f>+VLOOKUP($AA$42,$AA$16:$AI$41,4,FALSE)</f>
        <v>6.1</v>
      </c>
      <c r="AE42" s="106">
        <f>+VLOOKUP($AA$42,$AA$16:$AI$41,5,FALSE)</f>
        <v>6.7</v>
      </c>
      <c r="AF42" s="106">
        <f>+VLOOKUP($AA$42,$AA$16:$AI$41,6,FALSE)</f>
        <v>6.25</v>
      </c>
      <c r="AG42" s="106">
        <f>+VLOOKUP($AA$42,$AA$16:$AI$41,7,FALSE)</f>
        <v>6.85</v>
      </c>
      <c r="AH42" s="106">
        <f>+VLOOKUP($AA$42,$AA$16:$AI$41,8,FALSE)</f>
        <v>6.4</v>
      </c>
      <c r="AI42" s="106">
        <f>+VLOOKUP($AA$42,$AA$16:$AI$41,9,FALSE)</f>
        <v>7.05</v>
      </c>
      <c r="AK42" s="102" t="str">
        <f>+DIM!$AK$20&amp;"+"&amp;DIM!$S$14</f>
        <v>251+150</v>
      </c>
      <c r="AL42" s="106">
        <f>+VLOOKUP($AK$42,$AK$16:$AS$41,2,FALSE)</f>
        <v>5.2</v>
      </c>
      <c r="AM42" s="106">
        <f>+VLOOKUP($AK$42,$AK$16:$AS$41,3,FALSE)</f>
        <v>5.2</v>
      </c>
      <c r="AN42" s="106">
        <f>+VLOOKUP($AK$42,$AK$16:$AS$41,4,FALSE)</f>
        <v>5.7</v>
      </c>
      <c r="AO42" s="106">
        <f>+VLOOKUP($AK$42,$AK$16:$AS$41,5,FALSE)</f>
        <v>6.05</v>
      </c>
      <c r="AP42" s="106">
        <f>+VLOOKUP($AK$42,$AK$16:$AS$41,6,FALSE)</f>
        <v>5.95</v>
      </c>
      <c r="AQ42" s="106">
        <f>+VLOOKUP($AK$42,$AK$16:$AS$41,7,FALSE)</f>
        <v>6.15</v>
      </c>
      <c r="AR42" s="106">
        <f>+VLOOKUP($AK$42,$AK$16:$AS$41,8,FALSE)</f>
        <v>5.7</v>
      </c>
      <c r="AS42" s="106">
        <f>+VLOOKUP($AK$42,$AK$16:$AS$41,9,FALSE)</f>
        <v>6</v>
      </c>
      <c r="AU42" s="102" t="str">
        <f>+DIM!$AK$20&amp;"+"&amp;DIM!$S$14</f>
        <v>251+150</v>
      </c>
      <c r="AV42" s="106">
        <f>+VLOOKUP($AU$42,$AU$16:$BC$39,2,FALSE)</f>
        <v>6.9</v>
      </c>
      <c r="AW42" s="106">
        <f>+VLOOKUP($AU$42,$AU$16:$BC$41,3,FALSE)</f>
        <v>7.55</v>
      </c>
      <c r="AX42" s="106">
        <f>+VLOOKUP($AU$42,$AU$16:$BC$41,4,FALSE)</f>
        <v>7.05</v>
      </c>
      <c r="AY42" s="106">
        <f>+VLOOKUP($AU$42,$AU$16:$BC$41,5,FALSE)</f>
        <v>7.8</v>
      </c>
      <c r="AZ42" s="106">
        <f>+VLOOKUP($AU$42,$AU$16:$BC$41,6,FALSE)</f>
        <v>7.2</v>
      </c>
      <c r="BA42" s="106">
        <f>+VLOOKUP($AU$42,$AU$16:$BC$41,7,FALSE)</f>
        <v>7.9</v>
      </c>
      <c r="BB42" s="106">
        <f>+VLOOKUP($AU$42,$AU$16:$BC$41,8,FALSE)</f>
        <v>7.3</v>
      </c>
      <c r="BC42" s="106">
        <f>+VLOOKUP($AU$42,$AU$16:$BC$41,9,FALSE)</f>
        <v>8.0500000000000007</v>
      </c>
      <c r="BE42" s="102" t="str">
        <f>+DIM!$AK$20&amp;"+"&amp;DIM!$S$14</f>
        <v>251+150</v>
      </c>
      <c r="BF42" s="106">
        <f>+VLOOKUP($BE$42,$BE$16:$BM$39,2,FALSE)</f>
        <v>6.05</v>
      </c>
      <c r="BG42" s="106">
        <f>+VLOOKUP($BE$42,$BE$16:$BM$39,3,FALSE)</f>
        <v>6.05</v>
      </c>
      <c r="BH42" s="106">
        <f>+VLOOKUP($BE$42,$BE$16:$BM$39,4,FALSE)</f>
        <v>5.8</v>
      </c>
      <c r="BI42" s="106">
        <f>+VLOOKUP($BE$42,$BE$16:$BM$39,5,FALSE)</f>
        <v>5.9</v>
      </c>
      <c r="BJ42" s="106">
        <f>+VLOOKUP($BE$42,$BE$16:$BM$41,6,FALSE)</f>
        <v>5.7</v>
      </c>
      <c r="BK42" s="106">
        <f>+VLOOKUP($BE$42,$BE$16:$BM$41,7,FALSE)</f>
        <v>5.75</v>
      </c>
      <c r="BL42" s="106">
        <f>+VLOOKUP($BE$42,$BE$16:$BM$41,8,FALSE)</f>
        <v>5.6</v>
      </c>
      <c r="BM42" s="106">
        <f>+VLOOKUP($BE$42,$BE$16:$BM$41,9,FALSE)</f>
        <v>5.6</v>
      </c>
    </row>
    <row r="43" spans="5:65" hidden="1" x14ac:dyDescent="0.2">
      <c r="F43" s="102" t="s">
        <v>47</v>
      </c>
      <c r="G43" s="102" t="str">
        <f>+DIM!AD15</f>
        <v>AL</v>
      </c>
      <c r="H43" s="140">
        <f>+IF(DIM!$AD$15=polyseac!$H$15,polyseac!H42,polyseac!I42)</f>
        <v>5.05</v>
      </c>
      <c r="I43" s="140"/>
      <c r="J43" s="140">
        <f>+IF(DIM!$AD$15=polyseac!$H$15,polyseac!J42,polyseac!K42)</f>
        <v>5.25</v>
      </c>
      <c r="K43" s="140"/>
      <c r="L43" s="140">
        <f>+IF(DIM!$AD$15=polyseac!$H$15,polyseac!L42,polyseac!M42)</f>
        <v>5.4</v>
      </c>
      <c r="M43" s="140"/>
      <c r="N43" s="140">
        <f>+IF(DIM!$AD$15=polyseac!$H$15,polyseac!N42,polyseac!O42)</f>
        <v>5.6</v>
      </c>
      <c r="O43" s="140"/>
      <c r="Q43" s="102" t="str">
        <f>+DIM!AD15</f>
        <v>AL</v>
      </c>
      <c r="R43" s="138">
        <f>+IF(DIM!$AD$15=polyseac!$H$15,polyseac!R42,polyseac!S42)</f>
        <v>4.8</v>
      </c>
      <c r="S43" s="139"/>
      <c r="T43" s="138">
        <f>+IF(DIM!$AD$15=polyseac!$H$15,polyseac!T42,polyseac!U42)</f>
        <v>4.9000000000000004</v>
      </c>
      <c r="U43" s="139"/>
      <c r="V43" s="138">
        <f>+IF(DIM!$AD$15=polyseac!$H$15,polyseac!V42,polyseac!W42)</f>
        <v>4.8499999999999996</v>
      </c>
      <c r="W43" s="139"/>
      <c r="X43" s="138">
        <f>+IF(DIM!$AD$15=polyseac!$H$15,polyseac!X42,polyseac!Y42)</f>
        <v>4.75</v>
      </c>
      <c r="Y43" s="139"/>
      <c r="AA43" s="102" t="str">
        <f>+DIM!AD15</f>
        <v>AL</v>
      </c>
      <c r="AB43" s="138">
        <f>+IF(DIM!$AD$15=polyseac!$H$15,polyseac!AB42,polyseac!AC42)</f>
        <v>5.8</v>
      </c>
      <c r="AC43" s="139"/>
      <c r="AD43" s="138">
        <f>+IF(DIM!$AD$15=polyseac!$H$15,polyseac!AD42,polyseac!AE42)</f>
        <v>6.1</v>
      </c>
      <c r="AE43" s="139"/>
      <c r="AF43" s="138">
        <f>+IF(DIM!$AD$15=polyseac!$H$15,polyseac!AF42,polyseac!AG42)</f>
        <v>6.25</v>
      </c>
      <c r="AG43" s="139"/>
      <c r="AH43" s="138">
        <f>+IF(DIM!$AD$15=polyseac!$H$15,polyseac!AH42,polyseac!AI42)</f>
        <v>6.4</v>
      </c>
      <c r="AI43" s="139"/>
      <c r="AK43" s="102" t="str">
        <f>+DIM!AD15</f>
        <v>AL</v>
      </c>
      <c r="AL43" s="138">
        <f>+IF(DIM!$AD$15=polyseac!$H$15,polyseac!AL42,polyseac!AM42)</f>
        <v>5.2</v>
      </c>
      <c r="AM43" s="139"/>
      <c r="AN43" s="138">
        <f>+IF(DIM!$AD$15=polyseac!$H$15,polyseac!AN42,polyseac!AO42)</f>
        <v>5.7</v>
      </c>
      <c r="AO43" s="139"/>
      <c r="AP43" s="138">
        <f>+IF(DIM!$AD$15=polyseac!$H$15,polyseac!AP42,polyseac!AQ42)</f>
        <v>5.95</v>
      </c>
      <c r="AQ43" s="139"/>
      <c r="AR43" s="138">
        <f>+IF(DIM!$AD$15=polyseac!$H$15,polyseac!AR42,polyseac!AS42)</f>
        <v>5.7</v>
      </c>
      <c r="AS43" s="139"/>
      <c r="AU43" s="102" t="str">
        <f>+AK43</f>
        <v>AL</v>
      </c>
      <c r="AV43" s="138">
        <f>+IF(DIM!$AD$15=polyseac!$H$15,polyseac!AV42,polyseac!AW42)</f>
        <v>6.9</v>
      </c>
      <c r="AW43" s="139"/>
      <c r="AX43" s="138">
        <f>+IF(DIM!$AD$15=polyseac!$H$15,polyseac!AX42,polyseac!AY42)</f>
        <v>7.05</v>
      </c>
      <c r="AY43" s="139"/>
      <c r="AZ43" s="138">
        <f>+IF(DIM!$AD$15=polyseac!$H$15,polyseac!AZ42,polyseac!BA42)</f>
        <v>7.2</v>
      </c>
      <c r="BA43" s="139"/>
      <c r="BB43" s="138">
        <f>+IF(DIM!$AD$15=polyseac!$H$15,polyseac!BB42,polyseac!BC42)</f>
        <v>7.3</v>
      </c>
      <c r="BC43" s="139"/>
      <c r="BE43" s="102" t="str">
        <f>+AU43</f>
        <v>AL</v>
      </c>
      <c r="BF43" s="138">
        <f>+IF(DIM!$AD$15=polyseac!$H$15,polyseac!BF42,polyseac!BG42)</f>
        <v>6.05</v>
      </c>
      <c r="BG43" s="139"/>
      <c r="BH43" s="138">
        <f>+IF(DIM!$AD$15=polyseac!$H$15,polyseac!BH42,polyseac!BI42)</f>
        <v>5.8</v>
      </c>
      <c r="BI43" s="139"/>
      <c r="BJ43" s="138">
        <f>+IF(DIM!$AD$15=polyseac!$H$15,polyseac!BJ42,polyseac!BK42)</f>
        <v>5.7</v>
      </c>
      <c r="BK43" s="139"/>
      <c r="BL43" s="138">
        <f>+IF(DIM!$AD$15=polyseac!$H$15,polyseac!BL42,polyseac!BM42)</f>
        <v>5.6</v>
      </c>
      <c r="BM43" s="139"/>
    </row>
    <row r="44" spans="5:65" hidden="1" x14ac:dyDescent="0.2">
      <c r="F44" s="102" t="s">
        <v>48</v>
      </c>
      <c r="G44" s="107">
        <f>+DIM!S31</f>
        <v>5</v>
      </c>
      <c r="K44" s="108">
        <f>+HLOOKUP(G44,H14:O43,30,FALSE)</f>
        <v>5.05</v>
      </c>
      <c r="Q44" s="107">
        <f>+DIM!S31</f>
        <v>5</v>
      </c>
      <c r="U44" s="108">
        <f>+HLOOKUP(Q44,R14:Y43,30,FALSE)</f>
        <v>4.8</v>
      </c>
      <c r="AA44" s="107">
        <f>+DIM!S31</f>
        <v>5</v>
      </c>
      <c r="AE44" s="108">
        <f>+HLOOKUP(AA44,AB14:AI43,30,FALSE)</f>
        <v>5.8</v>
      </c>
      <c r="AK44" s="106">
        <f>+DIM!S31</f>
        <v>5</v>
      </c>
      <c r="AO44" s="108">
        <f>+HLOOKUP(AK44,AL14:AS43,30,FALSE)</f>
        <v>5.2</v>
      </c>
      <c r="AU44" s="106">
        <f>+DIM!S31</f>
        <v>5</v>
      </c>
      <c r="AY44" s="108">
        <f>+HLOOKUP(AU44,AV14:BC43,30,FALSE)</f>
        <v>6.9</v>
      </c>
      <c r="BE44" s="106">
        <f>+AU44</f>
        <v>5</v>
      </c>
      <c r="BI44" s="108">
        <f>+HLOOKUP(BE44,BF14:BM43,30,FALSE)</f>
        <v>6.05</v>
      </c>
    </row>
    <row r="45" spans="5:65" hidden="1" x14ac:dyDescent="0.2">
      <c r="E45" s="102">
        <f>+DIM!Q31</f>
        <v>12</v>
      </c>
      <c r="F45" s="102" t="s">
        <v>65</v>
      </c>
      <c r="K45" s="109" t="str">
        <f>+K10&amp;"+"&amp;G44</f>
        <v>12+5</v>
      </c>
      <c r="U45" s="109" t="str">
        <f>+T10&amp;"+"&amp;Q44</f>
        <v>12+5</v>
      </c>
      <c r="AE45" s="109" t="str">
        <f>+AD10&amp;"+"&amp;AA44</f>
        <v>15+5</v>
      </c>
      <c r="AO45" s="109" t="str">
        <f>+AN10&amp;"+"&amp;AK44</f>
        <v>15+5</v>
      </c>
      <c r="AY45" s="109" t="str">
        <f>+AX10&amp;"+"&amp;AU44</f>
        <v>20+5</v>
      </c>
      <c r="BI45" s="109" t="str">
        <f>+BH10&amp;"+"&amp;BE44</f>
        <v>20+5</v>
      </c>
    </row>
    <row r="46" spans="5:65" hidden="1" x14ac:dyDescent="0.2">
      <c r="F46" s="102" t="s">
        <v>66</v>
      </c>
      <c r="G46" s="102" t="str">
        <f>+DIM!S19</f>
        <v>avec etai</v>
      </c>
      <c r="K46" s="103">
        <f>+HLOOKUP(G44,H14:O40,27,FALSE)</f>
        <v>180</v>
      </c>
      <c r="U46" s="103">
        <f>+HLOOKUP(Q44,R14:Y40,27,FALSE)</f>
        <v>170</v>
      </c>
      <c r="AE46" s="103">
        <f>+HLOOKUP(AA44,AB14:AI40,27,FALSE)</f>
        <v>210</v>
      </c>
      <c r="AO46" s="103">
        <f>+HLOOKUP(AK44,AL14:AS40,27,FALSE)</f>
        <v>200</v>
      </c>
      <c r="AY46" s="103">
        <f>+HLOOKUP(AU44,AV14:BC40,27,FALSE)</f>
        <v>271</v>
      </c>
      <c r="BI46" s="103">
        <f>+HLOOKUP(BE44,BF14:BM40,27,FALSE)</f>
        <v>271</v>
      </c>
    </row>
    <row r="47" spans="5:65" hidden="1" x14ac:dyDescent="0.2">
      <c r="F47" s="102">
        <v>12</v>
      </c>
      <c r="G47" s="102">
        <f>+IF($G$46="avec etai",K44,U44)</f>
        <v>5.05</v>
      </c>
      <c r="H47" s="102">
        <f>+IF($G$46="avec etai",K46,U46)</f>
        <v>180</v>
      </c>
      <c r="I47" s="102">
        <f>+IF($G$46="avec etai",K47,U47)</f>
        <v>62</v>
      </c>
      <c r="K47" s="103">
        <f>+HLOOKUP(G44,H14:O41,28,FALSE)</f>
        <v>62</v>
      </c>
      <c r="U47" s="103">
        <f>+HLOOKUP(Q44,R14:Y41,28,FALSE)</f>
        <v>60</v>
      </c>
      <c r="AE47" s="103">
        <f>+HLOOKUP(AA44,AB14:AI41,28,FALSE)</f>
        <v>73</v>
      </c>
      <c r="AO47" s="103">
        <f>+HLOOKUP(AK44,AL14:AS41,28,FALSE)</f>
        <v>73</v>
      </c>
      <c r="AY47" s="103">
        <f>+HLOOKUP(AU44,AV14:BC41,28,FALSE)</f>
        <v>91</v>
      </c>
      <c r="BI47" s="103">
        <f>+HLOOKUP(BE44,BF14:BM41,28,FALSE)</f>
        <v>91</v>
      </c>
    </row>
    <row r="48" spans="5:65" ht="19.5" hidden="1" x14ac:dyDescent="0.3">
      <c r="F48" s="102">
        <v>15</v>
      </c>
      <c r="G48" s="102">
        <f>+IF($G$46="avec etai",AE44,AO44)</f>
        <v>5.8</v>
      </c>
      <c r="H48" s="102">
        <f>+IF($G$46="avec etai",AE46,AO46)</f>
        <v>210</v>
      </c>
      <c r="I48" s="102">
        <f>+IF($G$46="avec etai",AE47,AO47)</f>
        <v>73</v>
      </c>
      <c r="L48" s="104">
        <v>12</v>
      </c>
      <c r="U48" s="104">
        <v>12</v>
      </c>
      <c r="AE48" s="104">
        <v>15</v>
      </c>
      <c r="AO48" s="104">
        <v>15</v>
      </c>
      <c r="AY48" s="104">
        <v>20</v>
      </c>
      <c r="BI48" s="104">
        <v>20</v>
      </c>
    </row>
    <row r="49" spans="5:65" hidden="1" x14ac:dyDescent="0.2">
      <c r="F49" s="102">
        <v>20</v>
      </c>
      <c r="G49" s="102">
        <f>+IF($G$46="avec etai",AY44,BI44)</f>
        <v>6.9</v>
      </c>
      <c r="H49" s="102">
        <f>+IF($G$46="avec etai",AY46,BI46)</f>
        <v>271</v>
      </c>
      <c r="I49" s="102">
        <f>+IF($G$46="avec etai",AY47,BI47)</f>
        <v>91</v>
      </c>
      <c r="L49" s="103" t="s">
        <v>78</v>
      </c>
      <c r="U49" s="103" t="s">
        <v>79</v>
      </c>
      <c r="AE49" s="103" t="s">
        <v>78</v>
      </c>
      <c r="AO49" s="103" t="s">
        <v>79</v>
      </c>
      <c r="AY49" s="103" t="s">
        <v>78</v>
      </c>
      <c r="BI49" s="103" t="s">
        <v>79</v>
      </c>
    </row>
    <row r="50" spans="5:65" hidden="1" x14ac:dyDescent="0.2">
      <c r="E50" s="102" t="s">
        <v>70</v>
      </c>
      <c r="F50" s="102" t="s">
        <v>74</v>
      </c>
      <c r="G50" s="102">
        <f>IF(E45&gt;20,"--",+VLOOKUP(+DIM!Q31,polyseac!F47:I49,2,FALSE))</f>
        <v>5.05</v>
      </c>
    </row>
    <row r="51" spans="5:65" hidden="1" x14ac:dyDescent="0.2">
      <c r="F51" s="102" t="s">
        <v>75</v>
      </c>
      <c r="G51" s="102">
        <f>IF(E45&gt;20,0,+VLOOKUP(+DIM!Q31,polyseac!F47:I49,3,FALSE))</f>
        <v>180</v>
      </c>
    </row>
    <row r="52" spans="5:65" hidden="1" x14ac:dyDescent="0.2">
      <c r="F52" s="102" t="s">
        <v>72</v>
      </c>
      <c r="G52" s="102">
        <f>IF(E45&gt;20,0,+VLOOKUP(+DIM!Q31,polyseac!F47:I49,4,FALSE))</f>
        <v>62</v>
      </c>
    </row>
    <row r="53" spans="5:65" hidden="1" x14ac:dyDescent="0.2"/>
    <row r="54" spans="5:65" hidden="1" x14ac:dyDescent="0.2">
      <c r="H54" s="137" t="s">
        <v>112</v>
      </c>
      <c r="I54" s="137"/>
      <c r="J54" s="137" t="s">
        <v>113</v>
      </c>
      <c r="K54" s="137"/>
      <c r="L54" s="137" t="s">
        <v>114</v>
      </c>
      <c r="M54" s="137"/>
      <c r="N54" s="137" t="s">
        <v>115</v>
      </c>
      <c r="O54" s="137"/>
      <c r="R54" s="137" t="s">
        <v>112</v>
      </c>
      <c r="S54" s="137"/>
      <c r="T54" s="137" t="s">
        <v>113</v>
      </c>
      <c r="U54" s="137"/>
      <c r="V54" s="137" t="s">
        <v>114</v>
      </c>
      <c r="W54" s="137"/>
      <c r="X54" s="137" t="s">
        <v>115</v>
      </c>
      <c r="Y54" s="137"/>
      <c r="AB54" s="137" t="s">
        <v>116</v>
      </c>
      <c r="AC54" s="137"/>
      <c r="AD54" s="137" t="s">
        <v>117</v>
      </c>
      <c r="AE54" s="137"/>
      <c r="AF54" s="137" t="s">
        <v>118</v>
      </c>
      <c r="AG54" s="137"/>
      <c r="AH54" s="137" t="s">
        <v>119</v>
      </c>
      <c r="AI54" s="137"/>
      <c r="AL54" s="137" t="s">
        <v>116</v>
      </c>
      <c r="AM54" s="137"/>
      <c r="AN54" s="137" t="s">
        <v>117</v>
      </c>
      <c r="AO54" s="137"/>
      <c r="AP54" s="137" t="s">
        <v>118</v>
      </c>
      <c r="AQ54" s="137"/>
      <c r="AR54" s="137" t="s">
        <v>119</v>
      </c>
      <c r="AS54" s="137"/>
      <c r="AV54" s="137" t="s">
        <v>120</v>
      </c>
      <c r="AW54" s="137"/>
      <c r="AX54" s="137" t="s">
        <v>121</v>
      </c>
      <c r="AY54" s="137"/>
      <c r="AZ54" s="137" t="s">
        <v>122</v>
      </c>
      <c r="BA54" s="137"/>
      <c r="BB54" s="137" t="s">
        <v>123</v>
      </c>
      <c r="BC54" s="137"/>
      <c r="BF54" s="137" t="s">
        <v>120</v>
      </c>
      <c r="BG54" s="137"/>
      <c r="BH54" s="137" t="s">
        <v>121</v>
      </c>
      <c r="BI54" s="137"/>
      <c r="BJ54" s="137" t="s">
        <v>122</v>
      </c>
      <c r="BK54" s="137"/>
      <c r="BL54" s="137" t="s">
        <v>123</v>
      </c>
      <c r="BM54" s="137"/>
    </row>
    <row r="55" spans="5:65" hidden="1" x14ac:dyDescent="0.2">
      <c r="F55" s="106">
        <f>+DIM!S10-0.01</f>
        <v>4.99</v>
      </c>
      <c r="H55" s="137">
        <f>+IF(H43&gt;$F$55,1,0)</f>
        <v>1</v>
      </c>
      <c r="I55" s="137"/>
      <c r="J55" s="137">
        <f>+IF(J43&gt;$F$55,1,0)</f>
        <v>1</v>
      </c>
      <c r="K55" s="137"/>
      <c r="L55" s="137">
        <f>+IF(L43&gt;$F$55,1,0)</f>
        <v>1</v>
      </c>
      <c r="M55" s="137"/>
      <c r="N55" s="137">
        <f>+IF(N43&gt;$F$55,1,0)</f>
        <v>1</v>
      </c>
      <c r="O55" s="137"/>
      <c r="R55" s="137">
        <f>+IF(R43&gt;$F$55,1,0)</f>
        <v>0</v>
      </c>
      <c r="S55" s="137"/>
      <c r="T55" s="137">
        <f>+IF(T43&gt;$F$55,1,0)</f>
        <v>0</v>
      </c>
      <c r="U55" s="137"/>
      <c r="V55" s="137">
        <f>+IF(V43&gt;$F$55,1,0)</f>
        <v>0</v>
      </c>
      <c r="W55" s="137"/>
      <c r="X55" s="137">
        <f>+IF(X43&gt;$F$55,1,0)</f>
        <v>0</v>
      </c>
      <c r="Y55" s="137"/>
      <c r="AB55" s="137">
        <f>+IF(AB43&gt;$F$55,1,0)</f>
        <v>1</v>
      </c>
      <c r="AC55" s="137"/>
      <c r="AD55" s="137">
        <f>+IF(AD43&gt;$F$55,1,0)</f>
        <v>1</v>
      </c>
      <c r="AE55" s="137"/>
      <c r="AF55" s="137">
        <f>+IF(AF43&gt;$F$55,1,0)</f>
        <v>1</v>
      </c>
      <c r="AG55" s="137"/>
      <c r="AH55" s="137">
        <f>+IF(AH43&gt;$F$55,1,0)</f>
        <v>1</v>
      </c>
      <c r="AI55" s="137"/>
      <c r="AL55" s="137">
        <f>+IF(AL43&gt;$F$55,1,0)</f>
        <v>1</v>
      </c>
      <c r="AM55" s="137"/>
      <c r="AN55" s="137">
        <f>+IF(AN43&gt;$F$55,1,0)</f>
        <v>1</v>
      </c>
      <c r="AO55" s="137"/>
      <c r="AP55" s="137">
        <f>+IF(AP43&gt;$F$55,1,0)</f>
        <v>1</v>
      </c>
      <c r="AQ55" s="137"/>
      <c r="AR55" s="137">
        <f>+IF(AR43&gt;$F$55,1,0)</f>
        <v>1</v>
      </c>
      <c r="AS55" s="137"/>
      <c r="AV55" s="137">
        <f>+IF(AV43&gt;$F$55,1,0)</f>
        <v>1</v>
      </c>
      <c r="AW55" s="137"/>
      <c r="AX55" s="137">
        <f>+IF(AX43&gt;$F$55,1,0)</f>
        <v>1</v>
      </c>
      <c r="AY55" s="137"/>
      <c r="AZ55" s="137">
        <f>+IF(AZ43&gt;$F$55,1,0)</f>
        <v>1</v>
      </c>
      <c r="BA55" s="137"/>
      <c r="BB55" s="137">
        <f>+IF(BB43&gt;$F$55,1,0)</f>
        <v>1</v>
      </c>
      <c r="BC55" s="137"/>
      <c r="BF55" s="137">
        <f>+IF(BF43&gt;$F$55,1,0)</f>
        <v>1</v>
      </c>
      <c r="BG55" s="137"/>
      <c r="BH55" s="137">
        <f>+IF(BH43&gt;$F$55,1,0)</f>
        <v>1</v>
      </c>
      <c r="BI55" s="137"/>
      <c r="BJ55" s="137">
        <f>+IF(BJ43&gt;$F$55,1,0)</f>
        <v>1</v>
      </c>
      <c r="BK55" s="137"/>
      <c r="BL55" s="137">
        <f>+IF(BL43&gt;$F$55,1,0)</f>
        <v>1</v>
      </c>
      <c r="BM55" s="137"/>
    </row>
    <row r="56" spans="5:65" hidden="1" x14ac:dyDescent="0.2">
      <c r="AB56" s="137"/>
      <c r="AC56" s="137"/>
      <c r="AD56" s="137"/>
      <c r="AE56" s="137"/>
      <c r="AF56" s="137"/>
      <c r="AG56" s="137"/>
      <c r="AH56" s="137"/>
      <c r="AI56" s="137"/>
    </row>
    <row r="57" spans="5:65" hidden="1" x14ac:dyDescent="0.2">
      <c r="J57" s="102" t="s">
        <v>169</v>
      </c>
      <c r="T57" s="102" t="s">
        <v>169</v>
      </c>
    </row>
    <row r="58" spans="5:65" hidden="1" x14ac:dyDescent="0.2">
      <c r="K58" s="102" t="str">
        <f>+IF(H55=1,H54,IF(J55=1,J54,IF(L55=1,L54,IF(N55=1,N54,0))))</f>
        <v>12+5</v>
      </c>
      <c r="L58" s="102" t="str">
        <f>+AE58</f>
        <v>15+5</v>
      </c>
      <c r="M58" s="102" t="str">
        <f>+AY58</f>
        <v>20+5</v>
      </c>
      <c r="U58" s="102">
        <f>+IF(R55=1,R54,IF(T55=1,T54,IF(V55=1,V54,IF(X55=1,X54,0))))</f>
        <v>0</v>
      </c>
      <c r="V58" s="102" t="str">
        <f>+AO58</f>
        <v>15+5</v>
      </c>
      <c r="W58" s="102" t="str">
        <f>+BI58</f>
        <v>20+5</v>
      </c>
      <c r="AE58" s="102" t="str">
        <f>+IF(AB55=1,AB54,IF(AD55=1,AD54,IF(AF55=1,AF54,IF(AH55=1,AH54,0))))</f>
        <v>15+5</v>
      </c>
      <c r="AO58" s="102" t="str">
        <f>+IF(AL55=1,AL54,IF(AN55=1,AN54,IF(AP55=1,AP54,IF(AR55=1,AR54,0))))</f>
        <v>15+5</v>
      </c>
      <c r="AY58" s="102" t="str">
        <f>+IF(AV55=1,AV54,IF(AX55=1,AX54,IF(AZ55=1,AZ54,IF(BB55=1,BB54,0))))</f>
        <v>20+5</v>
      </c>
      <c r="BI58" s="102" t="str">
        <f>+IF(BF55=1,BF54,IF(BH55=1,BH54,IF(BJ55=1,BJ54,IF(BL55=1,BL54,0))))</f>
        <v>20+5</v>
      </c>
    </row>
    <row r="59" spans="5:65" hidden="1" x14ac:dyDescent="0.2">
      <c r="J59" s="103" t="str">
        <f>+IF(K58&gt;0,K58,IF(L58&gt;0,L58,IF(M58&gt;0,M58,"hors limites")))</f>
        <v>12+5</v>
      </c>
      <c r="T59" s="103" t="str">
        <f>+IF(U58&gt;0,U58,IF(V58&gt;0,V58,IF(W58&gt;0,W58,"hors limites")))</f>
        <v>15+5</v>
      </c>
    </row>
    <row r="60" spans="5:65" hidden="1" x14ac:dyDescent="0.2">
      <c r="I60" s="102" t="s">
        <v>75</v>
      </c>
      <c r="J60" s="103">
        <f>+IF(K58&gt;0,K60,IF(L58&gt;0,L60,IF(M58&gt;0,M60,0)))</f>
        <v>180</v>
      </c>
      <c r="K60" s="102">
        <f>+HLOOKUP(J59,H13:O41,28,FALSE)</f>
        <v>180</v>
      </c>
      <c r="L60" s="102">
        <f>+HLOOKUP(L58,AB13:AI41,28,FALSE)</f>
        <v>210</v>
      </c>
      <c r="M60" s="102">
        <f>+HLOOKUP(M58,AV13:BC41,28,FALSE)</f>
        <v>271</v>
      </c>
      <c r="T60" s="103">
        <f>+IF(U58&gt;0,U60,IF(V58&gt;0,V60,IF(W58&gt;0,W60,0)))</f>
        <v>200</v>
      </c>
      <c r="U60" s="102" t="e">
        <f>+HLOOKUP(U58,R13:Y41,28,FALSE)</f>
        <v>#N/A</v>
      </c>
      <c r="V60" s="102">
        <f>+HLOOKUP(V58,AL13:AS41,28,FALSE)</f>
        <v>200</v>
      </c>
      <c r="W60" s="102">
        <f>+HLOOKUP(W58,BF13:BM41,28,FALSE)</f>
        <v>271</v>
      </c>
    </row>
    <row r="61" spans="5:65" hidden="1" x14ac:dyDescent="0.2">
      <c r="I61" s="102" t="s">
        <v>72</v>
      </c>
      <c r="J61" s="103">
        <f>+IF(K58&gt;0,K61,IF(L58&gt;0,L61,IF(M58&gt;0,M61,0)))</f>
        <v>62</v>
      </c>
      <c r="K61" s="102">
        <f>+HLOOKUP(J59,H13:O41,29,FALSE)</f>
        <v>62</v>
      </c>
      <c r="L61" s="102">
        <f>+HLOOKUP(L58,AB13:AI41,29,FALSE)</f>
        <v>73</v>
      </c>
      <c r="M61" s="102">
        <f>+HLOOKUP(M58,AV13:BC41,29,FALSE)</f>
        <v>91</v>
      </c>
      <c r="T61" s="103">
        <f>+IF(U58&gt;0,U61,IF(V58&gt;0,V61,IF(W58&gt;0,W61,0)))</f>
        <v>73</v>
      </c>
      <c r="U61" s="102" t="e">
        <f>+HLOOKUP(U58,R13:Y41,29,FALSE)</f>
        <v>#N/A</v>
      </c>
      <c r="V61" s="102">
        <f>+HLOOKUP(V58,AL13:AS41,29,FALSE)</f>
        <v>73</v>
      </c>
      <c r="W61" s="102">
        <f>+HLOOKUP(W58,BF13:BM41,29,FALSE)</f>
        <v>91</v>
      </c>
    </row>
    <row r="62" spans="5:65" hidden="1" x14ac:dyDescent="0.2"/>
    <row r="63" spans="5:65" hidden="1" x14ac:dyDescent="0.2"/>
    <row r="64" spans="5:65" hidden="1" x14ac:dyDescent="0.2"/>
  </sheetData>
  <sheetProtection algorithmName="SHA-512" hashValue="rAqBB5y+A2eFbZDAi00jY6Xnoda01VsTPkGIStiyFAvb6noT5Vfv0pdwXNKVJb/gLVVkIhKcLt4hwVc95fJlow==" saltValue="lGsjmiNDfudb9xb0CLgeYA==" spinCount="100000" sheet="1" objects="1" scenarios="1"/>
  <mergeCells count="156">
    <mergeCell ref="BJ13:BK13"/>
    <mergeCell ref="BL13:BM13"/>
    <mergeCell ref="R13:S13"/>
    <mergeCell ref="T13:U13"/>
    <mergeCell ref="V13:W13"/>
    <mergeCell ref="X13:Y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H13:I13"/>
    <mergeCell ref="J13:K13"/>
    <mergeCell ref="L13:M13"/>
    <mergeCell ref="N13:O13"/>
    <mergeCell ref="AB13:AC13"/>
    <mergeCell ref="AD13:AE13"/>
    <mergeCell ref="AF13:AG13"/>
    <mergeCell ref="AH13:AI13"/>
    <mergeCell ref="AL13:AM13"/>
    <mergeCell ref="BH55:BI55"/>
    <mergeCell ref="BJ55:BK55"/>
    <mergeCell ref="BL55:BM55"/>
    <mergeCell ref="AN54:AO54"/>
    <mergeCell ref="AP54:AQ54"/>
    <mergeCell ref="AR54:AS54"/>
    <mergeCell ref="AV55:AW55"/>
    <mergeCell ref="AX55:AY55"/>
    <mergeCell ref="AZ55:BA55"/>
    <mergeCell ref="BB55:BC55"/>
    <mergeCell ref="BF54:BG54"/>
    <mergeCell ref="BH54:BI54"/>
    <mergeCell ref="BJ54:BK54"/>
    <mergeCell ref="BL54:BM54"/>
    <mergeCell ref="AB56:AC56"/>
    <mergeCell ref="AD56:AE56"/>
    <mergeCell ref="AF56:AG56"/>
    <mergeCell ref="AH56:AI56"/>
    <mergeCell ref="AB55:AC55"/>
    <mergeCell ref="AD55:AE55"/>
    <mergeCell ref="AF55:AG55"/>
    <mergeCell ref="AH55:AI55"/>
    <mergeCell ref="BF55:BG55"/>
    <mergeCell ref="AN14:AO14"/>
    <mergeCell ref="AP14:AQ14"/>
    <mergeCell ref="AR14:AS14"/>
    <mergeCell ref="AL54:AM54"/>
    <mergeCell ref="R14:S14"/>
    <mergeCell ref="T14:U14"/>
    <mergeCell ref="V14:W14"/>
    <mergeCell ref="X14:Y14"/>
    <mergeCell ref="R40:S40"/>
    <mergeCell ref="T40:U40"/>
    <mergeCell ref="V40:W40"/>
    <mergeCell ref="X40:Y40"/>
    <mergeCell ref="R54:S54"/>
    <mergeCell ref="T54:U54"/>
    <mergeCell ref="V54:W54"/>
    <mergeCell ref="X54:Y54"/>
    <mergeCell ref="AB14:AC14"/>
    <mergeCell ref="AD14:AE14"/>
    <mergeCell ref="AF14:AG14"/>
    <mergeCell ref="AH14:AI14"/>
    <mergeCell ref="AB43:AC43"/>
    <mergeCell ref="AD43:AE43"/>
    <mergeCell ref="AF43:AG43"/>
    <mergeCell ref="AH43:AI43"/>
    <mergeCell ref="AL14:AM14"/>
    <mergeCell ref="H14:I14"/>
    <mergeCell ref="J14:K14"/>
    <mergeCell ref="L14:M14"/>
    <mergeCell ref="N14:O14"/>
    <mergeCell ref="H43:I43"/>
    <mergeCell ref="J43:K43"/>
    <mergeCell ref="L43:M43"/>
    <mergeCell ref="N43:O43"/>
    <mergeCell ref="H40:I40"/>
    <mergeCell ref="J40:K40"/>
    <mergeCell ref="L40:M40"/>
    <mergeCell ref="N40:O40"/>
    <mergeCell ref="H41:I41"/>
    <mergeCell ref="J41:K41"/>
    <mergeCell ref="L41:M41"/>
    <mergeCell ref="N41:O41"/>
    <mergeCell ref="R43:S43"/>
    <mergeCell ref="T43:U43"/>
    <mergeCell ref="V43:W43"/>
    <mergeCell ref="X43:Y43"/>
    <mergeCell ref="R41:S41"/>
    <mergeCell ref="T41:U41"/>
    <mergeCell ref="V41:W41"/>
    <mergeCell ref="BL14:BM14"/>
    <mergeCell ref="AV14:AW14"/>
    <mergeCell ref="AX14:AY14"/>
    <mergeCell ref="BH14:BI14"/>
    <mergeCell ref="BJ14:BK14"/>
    <mergeCell ref="AZ14:BA14"/>
    <mergeCell ref="BB14:BC14"/>
    <mergeCell ref="BF14:BG14"/>
    <mergeCell ref="BL40:BM40"/>
    <mergeCell ref="AX40:AY40"/>
    <mergeCell ref="AV40:AW40"/>
    <mergeCell ref="AZ40:BA40"/>
    <mergeCell ref="BJ40:BK40"/>
    <mergeCell ref="BB40:BC40"/>
    <mergeCell ref="BF40:BG40"/>
    <mergeCell ref="BH40:BI40"/>
    <mergeCell ref="X41:Y41"/>
    <mergeCell ref="BL41:BM41"/>
    <mergeCell ref="BJ41:BK41"/>
    <mergeCell ref="AL43:AM43"/>
    <mergeCell ref="AN43:AO43"/>
    <mergeCell ref="AP43:AQ43"/>
    <mergeCell ref="AR43:AS43"/>
    <mergeCell ref="BF43:BG43"/>
    <mergeCell ref="BH43:BI43"/>
    <mergeCell ref="BJ43:BK43"/>
    <mergeCell ref="AV43:AW43"/>
    <mergeCell ref="AX43:AY43"/>
    <mergeCell ref="BL43:BM43"/>
    <mergeCell ref="AV41:AW41"/>
    <mergeCell ref="AX41:AY41"/>
    <mergeCell ref="AZ41:BA41"/>
    <mergeCell ref="BB41:BC41"/>
    <mergeCell ref="AZ43:BA43"/>
    <mergeCell ref="BB43:BC43"/>
    <mergeCell ref="BH41:BI41"/>
    <mergeCell ref="BF41:BG41"/>
    <mergeCell ref="H54:I54"/>
    <mergeCell ref="J54:K54"/>
    <mergeCell ref="L54:M54"/>
    <mergeCell ref="N54:O54"/>
    <mergeCell ref="AR55:AS55"/>
    <mergeCell ref="AV54:AW54"/>
    <mergeCell ref="AX54:AY54"/>
    <mergeCell ref="AZ54:BA54"/>
    <mergeCell ref="BB54:BC54"/>
    <mergeCell ref="AF54:AG54"/>
    <mergeCell ref="AH54:AI54"/>
    <mergeCell ref="AL55:AM55"/>
    <mergeCell ref="AN55:AO55"/>
    <mergeCell ref="AP55:AQ55"/>
    <mergeCell ref="T55:U55"/>
    <mergeCell ref="V55:W55"/>
    <mergeCell ref="X55:Y55"/>
    <mergeCell ref="AB54:AC54"/>
    <mergeCell ref="AD54:AE54"/>
    <mergeCell ref="H55:I55"/>
    <mergeCell ref="J55:K55"/>
    <mergeCell ref="L55:M55"/>
    <mergeCell ref="N55:O55"/>
    <mergeCell ref="R55:S55"/>
  </mergeCells>
  <phoneticPr fontId="26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22C4A-C03F-411A-AE9C-FD05237098DD}">
  <dimension ref="E3:BM123"/>
  <sheetViews>
    <sheetView showGridLines="0" showRowColHeaders="0" topLeftCell="Q1" zoomScale="115" zoomScaleNormal="115" workbookViewId="0">
      <selection activeCell="W146" sqref="W146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3" spans="7:65" hidden="1" x14ac:dyDescent="0.2"/>
    <row r="4" spans="7:65" hidden="1" x14ac:dyDescent="0.2"/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>
        <v>12</v>
      </c>
      <c r="U10" s="110">
        <v>12</v>
      </c>
      <c r="AE10" s="110">
        <v>15</v>
      </c>
      <c r="AO10" s="110">
        <v>15</v>
      </c>
      <c r="AY10" s="110">
        <v>20</v>
      </c>
      <c r="BI10" s="110">
        <v>20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  <c r="AY11" s="111" t="s">
        <v>84</v>
      </c>
      <c r="BI11" s="111" t="s">
        <v>79</v>
      </c>
    </row>
    <row r="12" spans="7:65" hidden="1" x14ac:dyDescent="0.2">
      <c r="H12">
        <v>137</v>
      </c>
      <c r="K12" s="111"/>
      <c r="R12">
        <v>937</v>
      </c>
      <c r="U12" s="111"/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6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65" hidden="1" x14ac:dyDescent="0.2">
      <c r="G16" t="s">
        <v>166</v>
      </c>
      <c r="H16">
        <v>6.2</v>
      </c>
      <c r="I16">
        <v>6.6</v>
      </c>
      <c r="J16">
        <v>6.35</v>
      </c>
      <c r="K16">
        <v>6.85</v>
      </c>
      <c r="L16">
        <v>6.5</v>
      </c>
      <c r="M16">
        <v>7</v>
      </c>
      <c r="N16">
        <v>6.65</v>
      </c>
      <c r="O16">
        <v>7.2</v>
      </c>
      <c r="Q16" t="s">
        <v>166</v>
      </c>
      <c r="R16">
        <v>5.4</v>
      </c>
      <c r="S16">
        <v>5.4</v>
      </c>
      <c r="T16">
        <v>5.2</v>
      </c>
      <c r="U16">
        <v>5.2</v>
      </c>
      <c r="V16">
        <v>5</v>
      </c>
      <c r="W16">
        <v>5</v>
      </c>
      <c r="X16">
        <v>4.9000000000000004</v>
      </c>
      <c r="Y16">
        <v>4.9000000000000004</v>
      </c>
      <c r="AA16" t="s">
        <v>166</v>
      </c>
      <c r="AB16">
        <v>7.05</v>
      </c>
      <c r="AC16">
        <v>7.6</v>
      </c>
      <c r="AD16">
        <v>7.45</v>
      </c>
      <c r="AE16">
        <v>8</v>
      </c>
      <c r="AF16">
        <v>7.55</v>
      </c>
      <c r="AG16">
        <v>8.15</v>
      </c>
      <c r="AH16">
        <v>7.65</v>
      </c>
      <c r="AI16">
        <v>8.3000000000000007</v>
      </c>
      <c r="AK16" t="s">
        <v>166</v>
      </c>
      <c r="AL16">
        <v>5.2</v>
      </c>
      <c r="AM16">
        <v>5.2</v>
      </c>
      <c r="AN16">
        <v>6.3</v>
      </c>
      <c r="AO16">
        <v>6.35</v>
      </c>
      <c r="AP16">
        <v>6.2</v>
      </c>
      <c r="AQ16">
        <v>6.2</v>
      </c>
      <c r="AR16">
        <v>6</v>
      </c>
      <c r="AS16">
        <v>6</v>
      </c>
      <c r="AU16" t="s">
        <v>166</v>
      </c>
      <c r="AV16">
        <v>8.25</v>
      </c>
      <c r="AW16">
        <v>8.9</v>
      </c>
      <c r="AX16">
        <v>8.35</v>
      </c>
      <c r="AY16">
        <v>9</v>
      </c>
      <c r="AZ16">
        <v>8.5</v>
      </c>
      <c r="BA16">
        <v>9</v>
      </c>
      <c r="BB16">
        <v>8.6</v>
      </c>
      <c r="BC16">
        <v>9</v>
      </c>
      <c r="BE16" t="s">
        <v>166</v>
      </c>
      <c r="BF16">
        <v>6.05</v>
      </c>
      <c r="BG16">
        <v>6.05</v>
      </c>
      <c r="BH16">
        <v>5.9</v>
      </c>
      <c r="BI16">
        <v>5.9</v>
      </c>
      <c r="BJ16">
        <v>5.75</v>
      </c>
      <c r="BK16">
        <v>5.75</v>
      </c>
      <c r="BL16">
        <v>5.6</v>
      </c>
      <c r="BM16">
        <v>5.6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5.4</v>
      </c>
      <c r="S17">
        <v>5.4</v>
      </c>
      <c r="T17">
        <v>5.2</v>
      </c>
      <c r="U17">
        <v>5.2</v>
      </c>
      <c r="V17">
        <v>5</v>
      </c>
      <c r="W17">
        <v>5</v>
      </c>
      <c r="X17">
        <v>4.9000000000000004</v>
      </c>
      <c r="Y17">
        <v>4.9000000000000004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5.2</v>
      </c>
      <c r="AM17">
        <v>5.2</v>
      </c>
      <c r="AN17">
        <v>6.3</v>
      </c>
      <c r="AO17">
        <v>6.35</v>
      </c>
      <c r="AP17">
        <v>6.2</v>
      </c>
      <c r="AQ17">
        <v>6.2</v>
      </c>
      <c r="AR17">
        <v>6</v>
      </c>
      <c r="AS17">
        <v>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6.05</v>
      </c>
      <c r="BG17">
        <v>6.05</v>
      </c>
      <c r="BH17">
        <v>5.9</v>
      </c>
      <c r="BI17">
        <v>5.9</v>
      </c>
      <c r="BJ17">
        <v>5.75</v>
      </c>
      <c r="BK17">
        <v>5.75</v>
      </c>
      <c r="BL17">
        <v>5.6</v>
      </c>
      <c r="BM17">
        <v>5.6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5.2</v>
      </c>
      <c r="S18">
        <v>5.35</v>
      </c>
      <c r="T18">
        <v>5.15</v>
      </c>
      <c r="U18">
        <v>5.15</v>
      </c>
      <c r="V18">
        <v>5</v>
      </c>
      <c r="W18">
        <v>5</v>
      </c>
      <c r="X18">
        <v>4.8499999999999996</v>
      </c>
      <c r="Y18">
        <v>4.8499999999999996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5.2</v>
      </c>
      <c r="AM18">
        <v>5.2</v>
      </c>
      <c r="AN18">
        <v>6.11</v>
      </c>
      <c r="AO18">
        <v>6.35</v>
      </c>
      <c r="AP18">
        <v>6.15</v>
      </c>
      <c r="AQ18">
        <v>6.2</v>
      </c>
      <c r="AR18">
        <v>6</v>
      </c>
      <c r="AS18">
        <v>6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6.05</v>
      </c>
      <c r="BG18">
        <v>6.05</v>
      </c>
      <c r="BH18">
        <v>5.9</v>
      </c>
      <c r="BI18">
        <v>5.9</v>
      </c>
      <c r="BJ18">
        <v>5.75</v>
      </c>
      <c r="BK18">
        <v>5.75</v>
      </c>
      <c r="BL18">
        <v>5.6</v>
      </c>
      <c r="BM18">
        <v>5.6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5</v>
      </c>
      <c r="S19">
        <v>5.05</v>
      </c>
      <c r="T19">
        <v>5.05</v>
      </c>
      <c r="U19">
        <v>5.05</v>
      </c>
      <c r="V19">
        <v>4.9000000000000004</v>
      </c>
      <c r="W19">
        <v>4.9000000000000004</v>
      </c>
      <c r="X19">
        <v>4.8499999999999996</v>
      </c>
      <c r="Y19">
        <v>4.8499999999999996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5.2</v>
      </c>
      <c r="AM19">
        <v>5.2</v>
      </c>
      <c r="AN19">
        <v>5.9</v>
      </c>
      <c r="AO19">
        <v>6.25</v>
      </c>
      <c r="AP19">
        <v>5.95</v>
      </c>
      <c r="AQ19">
        <v>6.2</v>
      </c>
      <c r="AR19">
        <v>5.9</v>
      </c>
      <c r="AS19">
        <v>6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6.05</v>
      </c>
      <c r="BG19">
        <v>6.05</v>
      </c>
      <c r="BH19">
        <v>5.9</v>
      </c>
      <c r="BI19">
        <v>5.9</v>
      </c>
      <c r="BJ19">
        <v>5.75</v>
      </c>
      <c r="BK19">
        <v>5.75</v>
      </c>
      <c r="BL19">
        <v>5.6</v>
      </c>
      <c r="BM19">
        <v>5.6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4.5999999999999996</v>
      </c>
      <c r="S20">
        <v>4.5999999999999996</v>
      </c>
      <c r="T20">
        <v>4.8</v>
      </c>
      <c r="U20">
        <v>4.95</v>
      </c>
      <c r="V20">
        <v>4.8</v>
      </c>
      <c r="W20">
        <v>4.9000000000000004</v>
      </c>
      <c r="X20">
        <v>4.7</v>
      </c>
      <c r="Y20">
        <v>4.75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5.2</v>
      </c>
      <c r="AM20">
        <v>5.2</v>
      </c>
      <c r="AN20">
        <v>5.75</v>
      </c>
      <c r="AO20">
        <v>6.05</v>
      </c>
      <c r="AP20">
        <v>5.8</v>
      </c>
      <c r="AQ20">
        <v>6.1</v>
      </c>
      <c r="AR20">
        <v>5.7</v>
      </c>
      <c r="AS20">
        <v>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6.05</v>
      </c>
      <c r="BG20">
        <v>6.05</v>
      </c>
      <c r="BH20">
        <v>5.8</v>
      </c>
      <c r="BI20">
        <v>5.9</v>
      </c>
      <c r="BJ20">
        <v>5.7</v>
      </c>
      <c r="BK20">
        <v>5.75</v>
      </c>
      <c r="BL20">
        <v>5.6</v>
      </c>
      <c r="BM20">
        <v>5.6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4.0999999999999996</v>
      </c>
      <c r="S21">
        <v>4.0999999999999996</v>
      </c>
      <c r="T21">
        <v>4.4000000000000004</v>
      </c>
      <c r="U21">
        <v>4.45</v>
      </c>
      <c r="V21">
        <v>4.7</v>
      </c>
      <c r="W21">
        <v>4.7</v>
      </c>
      <c r="X21">
        <v>4.9000000000000004</v>
      </c>
      <c r="Y21">
        <v>4.9000000000000004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4.8499999999999996</v>
      </c>
      <c r="AM21">
        <v>4.8499999999999996</v>
      </c>
      <c r="AN21">
        <v>5.55</v>
      </c>
      <c r="AO21">
        <v>5.75</v>
      </c>
      <c r="AP21">
        <v>5.55</v>
      </c>
      <c r="AQ21">
        <v>5.8</v>
      </c>
      <c r="AR21">
        <v>5.5</v>
      </c>
      <c r="AS21">
        <v>5.8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5.75</v>
      </c>
      <c r="BG21">
        <v>5.9</v>
      </c>
      <c r="BH21">
        <v>5.65</v>
      </c>
      <c r="BI21">
        <v>5.9</v>
      </c>
      <c r="BJ21">
        <v>5.6</v>
      </c>
      <c r="BK21">
        <v>5.75</v>
      </c>
      <c r="BL21">
        <v>5.5</v>
      </c>
      <c r="BM21">
        <v>5.6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3.65</v>
      </c>
      <c r="S22">
        <v>3.65</v>
      </c>
      <c r="T22">
        <v>3.9</v>
      </c>
      <c r="U22">
        <v>3.9</v>
      </c>
      <c r="V22">
        <v>4.0999999999999996</v>
      </c>
      <c r="W22">
        <v>4.0999999999999996</v>
      </c>
      <c r="X22">
        <v>4.3</v>
      </c>
      <c r="Y22">
        <v>4.3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4.55</v>
      </c>
      <c r="AM22">
        <v>4.55</v>
      </c>
      <c r="AN22">
        <v>5.3</v>
      </c>
      <c r="AO22">
        <v>5.6</v>
      </c>
      <c r="AP22">
        <v>5.35</v>
      </c>
      <c r="AQ22">
        <v>5.65</v>
      </c>
      <c r="AR22">
        <v>5.3</v>
      </c>
      <c r="AS22">
        <v>5.6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5.5</v>
      </c>
      <c r="BG22">
        <v>5.8</v>
      </c>
      <c r="BH22">
        <v>5.45</v>
      </c>
      <c r="BI22">
        <v>5.75</v>
      </c>
      <c r="BJ22">
        <v>5.4</v>
      </c>
      <c r="BK22">
        <v>5.65</v>
      </c>
      <c r="BL22">
        <v>5.3</v>
      </c>
      <c r="BM22">
        <v>5.6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3.2</v>
      </c>
      <c r="S23">
        <v>3.2</v>
      </c>
      <c r="T23">
        <v>3.4</v>
      </c>
      <c r="U23">
        <v>3.4</v>
      </c>
      <c r="V23">
        <v>3.6</v>
      </c>
      <c r="W23">
        <v>3.6</v>
      </c>
      <c r="X23">
        <v>3.8</v>
      </c>
      <c r="Y23">
        <v>3.8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4.05</v>
      </c>
      <c r="AM23">
        <v>4.05</v>
      </c>
      <c r="AN23">
        <v>5</v>
      </c>
      <c r="AO23">
        <v>5.3</v>
      </c>
      <c r="AP23">
        <v>5.0999999999999996</v>
      </c>
      <c r="AQ23">
        <v>5.35</v>
      </c>
      <c r="AR23">
        <v>5.05</v>
      </c>
      <c r="AS23">
        <v>5.35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5.8</v>
      </c>
      <c r="BH23">
        <v>5.25</v>
      </c>
      <c r="BI23">
        <v>5.5</v>
      </c>
      <c r="BJ23">
        <v>5.2</v>
      </c>
      <c r="BK23">
        <v>5.5</v>
      </c>
      <c r="BL23">
        <v>5.15</v>
      </c>
      <c r="BM23">
        <v>5.4</v>
      </c>
    </row>
    <row r="24" spans="7:65" hidden="1" x14ac:dyDescent="0.2">
      <c r="G24" t="s">
        <v>167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167</v>
      </c>
      <c r="R24">
        <v>5.2</v>
      </c>
      <c r="S24">
        <v>5.4</v>
      </c>
      <c r="T24">
        <v>5.15</v>
      </c>
      <c r="U24">
        <v>5.2</v>
      </c>
      <c r="V24">
        <v>5.05</v>
      </c>
      <c r="W24">
        <v>5.05</v>
      </c>
      <c r="X24">
        <v>4.9000000000000004</v>
      </c>
      <c r="Y24">
        <v>4.9000000000000004</v>
      </c>
      <c r="AA24" t="s">
        <v>167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</v>
      </c>
      <c r="AI24">
        <v>7.6</v>
      </c>
      <c r="AK24" t="s">
        <v>167</v>
      </c>
      <c r="AL24">
        <v>5.2</v>
      </c>
      <c r="AM24">
        <v>5.2</v>
      </c>
      <c r="AN24">
        <v>5.9</v>
      </c>
      <c r="AO24">
        <v>6.25</v>
      </c>
      <c r="AP24">
        <v>6.2</v>
      </c>
      <c r="AQ24">
        <v>6.2</v>
      </c>
      <c r="AR24">
        <v>5.9</v>
      </c>
      <c r="AS24">
        <v>6</v>
      </c>
      <c r="AU24" t="s">
        <v>167</v>
      </c>
      <c r="AV24">
        <v>7.7</v>
      </c>
      <c r="AW24">
        <v>8.15</v>
      </c>
      <c r="AX24">
        <v>7.85</v>
      </c>
      <c r="AY24">
        <v>8.3000000000000007</v>
      </c>
      <c r="AZ24">
        <v>8</v>
      </c>
      <c r="BA24">
        <v>8.4499999999999993</v>
      </c>
      <c r="BB24">
        <v>8.1</v>
      </c>
      <c r="BC24">
        <v>8.65</v>
      </c>
      <c r="BE24" t="s">
        <v>167</v>
      </c>
      <c r="BF24">
        <v>6.05</v>
      </c>
      <c r="BG24">
        <v>6.05</v>
      </c>
      <c r="BH24">
        <v>5.9</v>
      </c>
      <c r="BI24">
        <v>5.9</v>
      </c>
      <c r="BJ24">
        <v>5.75</v>
      </c>
      <c r="BK24">
        <v>5.75</v>
      </c>
      <c r="BL24">
        <v>5.6</v>
      </c>
      <c r="BM24">
        <v>5.6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4.9000000000000004</v>
      </c>
      <c r="S25">
        <v>4.9000000000000004</v>
      </c>
      <c r="T25">
        <v>5</v>
      </c>
      <c r="U25">
        <v>5.15</v>
      </c>
      <c r="V25">
        <v>4.9000000000000004</v>
      </c>
      <c r="W25">
        <v>5</v>
      </c>
      <c r="X25">
        <v>4.8</v>
      </c>
      <c r="Y25">
        <v>4.8499999999999996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5.2</v>
      </c>
      <c r="AM25">
        <v>5.2</v>
      </c>
      <c r="AN25">
        <v>5.9</v>
      </c>
      <c r="AO25">
        <v>6.25</v>
      </c>
      <c r="AP25">
        <v>6.2</v>
      </c>
      <c r="AQ25">
        <v>6.2</v>
      </c>
      <c r="AR25">
        <v>5.9</v>
      </c>
      <c r="AS25">
        <v>6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6.05</v>
      </c>
      <c r="BG25">
        <v>6.05</v>
      </c>
      <c r="BH25">
        <v>5.9</v>
      </c>
      <c r="BI25">
        <v>5.9</v>
      </c>
      <c r="BJ25">
        <v>5.75</v>
      </c>
      <c r="BK25">
        <v>5.75</v>
      </c>
      <c r="BL25">
        <v>5.6</v>
      </c>
      <c r="BM25">
        <v>5.6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4.5</v>
      </c>
      <c r="S26">
        <v>4.5</v>
      </c>
      <c r="T26">
        <v>4.75</v>
      </c>
      <c r="U26">
        <v>4.75</v>
      </c>
      <c r="V26">
        <v>4.8</v>
      </c>
      <c r="W26">
        <v>4.05</v>
      </c>
      <c r="X26">
        <v>4.7</v>
      </c>
      <c r="Y26">
        <v>4.9000000000000004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5.2</v>
      </c>
      <c r="AM26">
        <v>5.2</v>
      </c>
      <c r="AN26">
        <v>5.75</v>
      </c>
      <c r="AO26">
        <v>6.05</v>
      </c>
      <c r="AP26">
        <v>5.8</v>
      </c>
      <c r="AQ26">
        <v>6.1</v>
      </c>
      <c r="AR26">
        <v>5.75</v>
      </c>
      <c r="AS26">
        <v>6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6.05</v>
      </c>
      <c r="BG26">
        <v>6.05</v>
      </c>
      <c r="BH26">
        <v>5.9</v>
      </c>
      <c r="BI26">
        <v>5.9</v>
      </c>
      <c r="BJ26">
        <v>5.75</v>
      </c>
      <c r="BK26">
        <v>5.75</v>
      </c>
      <c r="BL26">
        <v>5.6</v>
      </c>
      <c r="BM26">
        <v>5.6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4.2</v>
      </c>
      <c r="S27">
        <v>4.2</v>
      </c>
      <c r="T27">
        <v>4.4000000000000004</v>
      </c>
      <c r="U27">
        <v>4.4000000000000004</v>
      </c>
      <c r="V27">
        <v>4.5</v>
      </c>
      <c r="W27">
        <v>4.5999999999999996</v>
      </c>
      <c r="X27">
        <v>4.55</v>
      </c>
      <c r="Y27">
        <v>4.8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4.95</v>
      </c>
      <c r="AM27">
        <v>5.15</v>
      </c>
      <c r="AN27">
        <v>5.6</v>
      </c>
      <c r="AO27">
        <v>5.9</v>
      </c>
      <c r="AP27">
        <v>5.65</v>
      </c>
      <c r="AQ27">
        <v>5.95</v>
      </c>
      <c r="AR27">
        <v>5.6</v>
      </c>
      <c r="AS27">
        <v>5.9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6.05</v>
      </c>
      <c r="BG27">
        <v>6.05</v>
      </c>
      <c r="BH27">
        <v>5.75</v>
      </c>
      <c r="BI27">
        <v>5.9</v>
      </c>
      <c r="BJ27">
        <v>5.75</v>
      </c>
      <c r="BK27">
        <v>5.75</v>
      </c>
      <c r="BL27">
        <v>5.6</v>
      </c>
      <c r="BM27">
        <v>5.6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3.85</v>
      </c>
      <c r="S28">
        <v>3.85</v>
      </c>
      <c r="T28">
        <v>4.05</v>
      </c>
      <c r="U28">
        <v>4.05</v>
      </c>
      <c r="V28">
        <v>4.3</v>
      </c>
      <c r="W28">
        <v>4.3</v>
      </c>
      <c r="X28">
        <v>4.5</v>
      </c>
      <c r="Y28">
        <v>4.5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4.8</v>
      </c>
      <c r="AM28">
        <v>4.8</v>
      </c>
      <c r="AN28">
        <v>5.45</v>
      </c>
      <c r="AO28">
        <v>5.75</v>
      </c>
      <c r="AP28">
        <v>5.5</v>
      </c>
      <c r="AQ28">
        <v>5.8</v>
      </c>
      <c r="AR28">
        <v>5.5</v>
      </c>
      <c r="AS28">
        <v>5.8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5.7</v>
      </c>
      <c r="BG28">
        <v>6.05</v>
      </c>
      <c r="BH28">
        <v>5.65</v>
      </c>
      <c r="BI28">
        <v>5.9</v>
      </c>
      <c r="BJ28">
        <v>5.6</v>
      </c>
      <c r="BK28">
        <v>5.75</v>
      </c>
      <c r="BL28">
        <v>5.5</v>
      </c>
      <c r="BM28">
        <v>5.6</v>
      </c>
    </row>
    <row r="29" spans="7:65" hidden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3.5</v>
      </c>
      <c r="S29">
        <v>3.5</v>
      </c>
      <c r="T29">
        <v>3.7</v>
      </c>
      <c r="U29">
        <v>3.7</v>
      </c>
      <c r="V29">
        <v>3.9</v>
      </c>
      <c r="W29">
        <v>3.9</v>
      </c>
      <c r="X29">
        <v>4.05</v>
      </c>
      <c r="Y29">
        <v>4.05</v>
      </c>
      <c r="AA29" t="s">
        <v>81</v>
      </c>
      <c r="AB29">
        <v>5.25</v>
      </c>
      <c r="AC29">
        <v>5.5</v>
      </c>
      <c r="AD29">
        <v>5.6</v>
      </c>
      <c r="AE29">
        <f t="shared" ref="AE29:AI29" si="0">+(AE28+AE30)/2</f>
        <v>6.05</v>
      </c>
      <c r="AF29">
        <f t="shared" si="0"/>
        <v>5.75</v>
      </c>
      <c r="AG29">
        <v>6.2</v>
      </c>
      <c r="AH29">
        <f t="shared" si="0"/>
        <v>5.9</v>
      </c>
      <c r="AI29">
        <f t="shared" si="0"/>
        <v>6.4</v>
      </c>
      <c r="AK29" t="s">
        <v>81</v>
      </c>
      <c r="AL29">
        <v>4.4000000000000004</v>
      </c>
      <c r="AM29">
        <v>4.4000000000000004</v>
      </c>
      <c r="AN29">
        <v>5.3</v>
      </c>
      <c r="AO29">
        <v>5.45</v>
      </c>
      <c r="AP29">
        <v>5.25</v>
      </c>
      <c r="AQ29">
        <v>5.6</v>
      </c>
      <c r="AR29">
        <v>5.25</v>
      </c>
      <c r="AS29">
        <v>5.6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5.6</v>
      </c>
      <c r="BG29">
        <v>5.85</v>
      </c>
      <c r="BH29">
        <v>5.55</v>
      </c>
      <c r="BI29">
        <v>5.85</v>
      </c>
      <c r="BJ29">
        <v>5.5</v>
      </c>
      <c r="BK29">
        <v>5.75</v>
      </c>
      <c r="BL29">
        <v>5.45</v>
      </c>
      <c r="BM29">
        <v>5.6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3.2</v>
      </c>
      <c r="S30">
        <v>3.2</v>
      </c>
      <c r="T30">
        <v>3.4</v>
      </c>
      <c r="U30">
        <v>3.4</v>
      </c>
      <c r="V30">
        <v>3.65</v>
      </c>
      <c r="W30">
        <v>3.65</v>
      </c>
      <c r="X30">
        <v>3.75</v>
      </c>
      <c r="Y30">
        <v>3.75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</v>
      </c>
      <c r="AM30">
        <v>4</v>
      </c>
      <c r="AN30">
        <v>5.0999999999999996</v>
      </c>
      <c r="AO30">
        <v>5.35</v>
      </c>
      <c r="AP30">
        <v>5.15</v>
      </c>
      <c r="AQ30">
        <v>5.45</v>
      </c>
      <c r="AR30">
        <v>5.15</v>
      </c>
      <c r="AS30">
        <v>5.45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5.4</v>
      </c>
      <c r="BG30">
        <v>5.7</v>
      </c>
      <c r="BH30">
        <v>5.35</v>
      </c>
      <c r="BI30">
        <v>5.65</v>
      </c>
      <c r="BJ30">
        <v>5.3</v>
      </c>
      <c r="BK30">
        <v>5.6</v>
      </c>
      <c r="BL30">
        <v>5.25</v>
      </c>
      <c r="BM30">
        <v>5.55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2.85</v>
      </c>
      <c r="S31">
        <v>2.85</v>
      </c>
      <c r="T31">
        <v>3.05</v>
      </c>
      <c r="U31">
        <v>3.05</v>
      </c>
      <c r="V31">
        <v>3.2</v>
      </c>
      <c r="W31">
        <v>3.2</v>
      </c>
      <c r="X31">
        <v>3.4</v>
      </c>
      <c r="Y31">
        <v>3.4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3.6</v>
      </c>
      <c r="AM31">
        <v>3.6</v>
      </c>
      <c r="AN31">
        <v>4.8499999999999996</v>
      </c>
      <c r="AO31">
        <v>5.15</v>
      </c>
      <c r="AP31">
        <v>4.95</v>
      </c>
      <c r="AQ31">
        <v>5.2</v>
      </c>
      <c r="AR31">
        <v>5</v>
      </c>
      <c r="AS31">
        <v>5.25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5.5</v>
      </c>
      <c r="BH31">
        <v>5.2</v>
      </c>
      <c r="BI31">
        <v>5.45</v>
      </c>
      <c r="BJ31">
        <v>5.15</v>
      </c>
      <c r="BK31">
        <v>5.4</v>
      </c>
      <c r="BL31">
        <v>5.0999999999999996</v>
      </c>
      <c r="BM31">
        <v>5.35</v>
      </c>
    </row>
    <row r="32" spans="7:65" hidden="1" x14ac:dyDescent="0.2">
      <c r="G32" t="s">
        <v>168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168</v>
      </c>
      <c r="R32">
        <v>4.05</v>
      </c>
      <c r="S32">
        <v>4.05</v>
      </c>
      <c r="T32">
        <v>4.3</v>
      </c>
      <c r="U32">
        <v>4.3</v>
      </c>
      <c r="V32">
        <v>4.5</v>
      </c>
      <c r="W32">
        <v>4.5</v>
      </c>
      <c r="X32">
        <v>4.6500000000000004</v>
      </c>
      <c r="Y32">
        <v>4.7</v>
      </c>
      <c r="AA32" t="s">
        <v>168</v>
      </c>
      <c r="AB32">
        <v>5.9</v>
      </c>
      <c r="AC32">
        <v>6.15</v>
      </c>
      <c r="AD32">
        <v>6.3</v>
      </c>
      <c r="AE32">
        <v>6.55</v>
      </c>
      <c r="AF32">
        <v>6.45</v>
      </c>
      <c r="AG32">
        <v>6.7</v>
      </c>
      <c r="AH32">
        <v>6.6</v>
      </c>
      <c r="AI32">
        <v>6.9</v>
      </c>
      <c r="AK32" t="s">
        <v>168</v>
      </c>
      <c r="AL32">
        <v>4.95</v>
      </c>
      <c r="AM32">
        <v>5.05</v>
      </c>
      <c r="AN32">
        <v>5.6</v>
      </c>
      <c r="AO32">
        <v>5.9</v>
      </c>
      <c r="AP32">
        <v>5.65</v>
      </c>
      <c r="AQ32">
        <v>6</v>
      </c>
      <c r="AR32">
        <v>5.6</v>
      </c>
      <c r="AS32">
        <v>5.95</v>
      </c>
      <c r="AU32" t="s">
        <v>168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</v>
      </c>
      <c r="BC32">
        <v>7.85</v>
      </c>
      <c r="BE32" t="s">
        <v>168</v>
      </c>
      <c r="BF32">
        <v>6.05</v>
      </c>
      <c r="BG32">
        <v>6.05</v>
      </c>
      <c r="BH32">
        <v>5.65</v>
      </c>
      <c r="BI32">
        <v>5.9</v>
      </c>
      <c r="BJ32">
        <v>5.6</v>
      </c>
      <c r="BK32">
        <v>5.75</v>
      </c>
      <c r="BL32">
        <v>5.6</v>
      </c>
      <c r="BM32">
        <v>5.6</v>
      </c>
    </row>
    <row r="33" spans="5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3.8</v>
      </c>
      <c r="S33">
        <v>3.8</v>
      </c>
      <c r="T33">
        <v>4.05</v>
      </c>
      <c r="U33">
        <v>4.05</v>
      </c>
      <c r="V33">
        <v>4.3</v>
      </c>
      <c r="W33">
        <v>4.2</v>
      </c>
      <c r="X33">
        <v>4.4000000000000004</v>
      </c>
      <c r="Y33">
        <v>4.4000000000000004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4.7</v>
      </c>
      <c r="AM33">
        <v>4.7</v>
      </c>
      <c r="AN33">
        <v>5.45</v>
      </c>
      <c r="AO33">
        <v>5.75</v>
      </c>
      <c r="AP33">
        <v>5.5</v>
      </c>
      <c r="AQ33">
        <v>5.8</v>
      </c>
      <c r="AR33">
        <v>5.5</v>
      </c>
      <c r="AS33">
        <v>5.8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6.05</v>
      </c>
      <c r="BG33">
        <v>6.05</v>
      </c>
      <c r="BH33">
        <v>5.65</v>
      </c>
      <c r="BI33">
        <v>5.9</v>
      </c>
      <c r="BJ33">
        <v>5.6</v>
      </c>
      <c r="BK33">
        <v>5.75</v>
      </c>
      <c r="BL33">
        <v>5.6</v>
      </c>
      <c r="BM33">
        <v>5.6</v>
      </c>
    </row>
    <row r="34" spans="5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3.55</v>
      </c>
      <c r="S34">
        <v>3.55</v>
      </c>
      <c r="T34">
        <v>3.75</v>
      </c>
      <c r="U34">
        <v>3.75</v>
      </c>
      <c r="V34">
        <v>3.95</v>
      </c>
      <c r="W34">
        <v>3.95</v>
      </c>
      <c r="X34">
        <v>4.1500000000000004</v>
      </c>
      <c r="Y34">
        <v>4.1500000000000004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4.4000000000000004</v>
      </c>
      <c r="AM34">
        <v>4.4000000000000004</v>
      </c>
      <c r="AN34">
        <v>5.3</v>
      </c>
      <c r="AO34">
        <v>5.6</v>
      </c>
      <c r="AP34">
        <v>5.4</v>
      </c>
      <c r="AQ34">
        <v>5.7</v>
      </c>
      <c r="AR34">
        <v>5.4</v>
      </c>
      <c r="AS34">
        <v>5.65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5.6</v>
      </c>
      <c r="BG34">
        <v>5.9</v>
      </c>
      <c r="BH34">
        <v>5.55</v>
      </c>
      <c r="BI34">
        <v>5.85</v>
      </c>
      <c r="BJ34">
        <v>5.5</v>
      </c>
      <c r="BK34">
        <v>5.75</v>
      </c>
      <c r="BL34">
        <v>5.6</v>
      </c>
      <c r="BM34">
        <v>5.6</v>
      </c>
    </row>
    <row r="35" spans="5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3.3</v>
      </c>
      <c r="S35">
        <v>3.3</v>
      </c>
      <c r="T35">
        <v>3.5</v>
      </c>
      <c r="U35">
        <v>3.5</v>
      </c>
      <c r="V35">
        <v>3.6</v>
      </c>
      <c r="W35">
        <v>3.6</v>
      </c>
      <c r="X35">
        <v>3.9</v>
      </c>
      <c r="Y35">
        <v>3.9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4.1500000000000004</v>
      </c>
      <c r="AM35">
        <v>4.1500000000000004</v>
      </c>
      <c r="AN35">
        <v>5.2</v>
      </c>
      <c r="AO35">
        <v>5.45</v>
      </c>
      <c r="AP35">
        <v>5.25</v>
      </c>
      <c r="AQ35">
        <v>5.55</v>
      </c>
      <c r="AR35">
        <v>5.25</v>
      </c>
      <c r="AS35">
        <v>5.55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5.5</v>
      </c>
      <c r="BG35">
        <v>5.8</v>
      </c>
      <c r="BH35">
        <v>5.45</v>
      </c>
      <c r="BI35">
        <v>5.75</v>
      </c>
      <c r="BJ35">
        <v>5.4</v>
      </c>
      <c r="BK35">
        <v>5.7</v>
      </c>
      <c r="BL35">
        <v>5.35</v>
      </c>
      <c r="BM35">
        <v>5.6</v>
      </c>
    </row>
    <row r="36" spans="5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3.1</v>
      </c>
      <c r="S36">
        <v>3.1</v>
      </c>
      <c r="T36">
        <v>3.3</v>
      </c>
      <c r="U36">
        <v>3.3</v>
      </c>
      <c r="V36">
        <v>3.5</v>
      </c>
      <c r="W36">
        <v>3.5</v>
      </c>
      <c r="X36">
        <v>3.7</v>
      </c>
      <c r="Y36">
        <v>3.7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3.9</v>
      </c>
      <c r="AM36">
        <v>3.9</v>
      </c>
      <c r="AN36">
        <v>5.15</v>
      </c>
      <c r="AO36">
        <v>5.35</v>
      </c>
      <c r="AP36">
        <v>5.15</v>
      </c>
      <c r="AQ36">
        <v>5.45</v>
      </c>
      <c r="AR36">
        <v>5.15</v>
      </c>
      <c r="AS36">
        <v>5.45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5.4</v>
      </c>
      <c r="BG36">
        <v>5.7</v>
      </c>
      <c r="BH36">
        <v>5.35</v>
      </c>
      <c r="BI36">
        <v>5.65</v>
      </c>
      <c r="BJ36">
        <v>5.3</v>
      </c>
      <c r="BK36">
        <v>5.6</v>
      </c>
      <c r="BL36">
        <v>5.3</v>
      </c>
      <c r="BM36">
        <v>5.55</v>
      </c>
    </row>
    <row r="37" spans="5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2.85</v>
      </c>
      <c r="S37">
        <v>2.85</v>
      </c>
      <c r="T37">
        <v>3.05</v>
      </c>
      <c r="U37">
        <v>3.05</v>
      </c>
      <c r="V37">
        <v>3.35</v>
      </c>
      <c r="W37">
        <v>3.35</v>
      </c>
      <c r="X37">
        <v>3.4</v>
      </c>
      <c r="Y37">
        <v>3.4</v>
      </c>
      <c r="AA37" t="s">
        <v>82</v>
      </c>
      <c r="AB37">
        <f t="shared" ref="AB37" si="1">+(AB36+AB38)/2</f>
        <v>4.8000000000000007</v>
      </c>
      <c r="AC37">
        <f t="shared" ref="AC37" si="2">+(AC36+AC38)/2</f>
        <v>4.8000000000000007</v>
      </c>
      <c r="AD37">
        <f t="shared" ref="AD37" si="3">+(AD36+AD38)/2</f>
        <v>5.3</v>
      </c>
      <c r="AE37">
        <v>5.5</v>
      </c>
      <c r="AF37">
        <f t="shared" ref="AF37" si="4">+(AF36+AF38)/2</f>
        <v>5.45</v>
      </c>
      <c r="AG37">
        <f t="shared" ref="AG37" si="5">+(AG36+AG38)/2</f>
        <v>5.8</v>
      </c>
      <c r="AH37">
        <f t="shared" ref="AH37" si="6">+(AH36+AH38)/2</f>
        <v>5.6</v>
      </c>
      <c r="AI37">
        <v>5.95</v>
      </c>
      <c r="AK37" t="s">
        <v>82</v>
      </c>
      <c r="AL37">
        <v>3.6</v>
      </c>
      <c r="AM37">
        <v>3.6</v>
      </c>
      <c r="AN37">
        <v>4.95</v>
      </c>
      <c r="AO37">
        <v>5.15</v>
      </c>
      <c r="AP37">
        <v>5</v>
      </c>
      <c r="AQ37">
        <v>5.3</v>
      </c>
      <c r="AR37">
        <v>5.05</v>
      </c>
      <c r="AS37">
        <v>5.3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5.2</v>
      </c>
      <c r="BG37">
        <v>5.5</v>
      </c>
      <c r="BH37">
        <v>5.25</v>
      </c>
      <c r="BI37">
        <v>5.55</v>
      </c>
      <c r="BJ37">
        <v>5.25</v>
      </c>
      <c r="BK37">
        <v>5.5</v>
      </c>
      <c r="BL37">
        <v>5.2</v>
      </c>
      <c r="BM37">
        <v>5.5</v>
      </c>
    </row>
    <row r="38" spans="5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2.65</v>
      </c>
      <c r="S38">
        <v>2.65</v>
      </c>
      <c r="T38">
        <v>2.85</v>
      </c>
      <c r="U38">
        <v>2.85</v>
      </c>
      <c r="V38">
        <v>3</v>
      </c>
      <c r="W38">
        <v>3</v>
      </c>
      <c r="X38">
        <v>3.2</v>
      </c>
      <c r="Y38">
        <v>3.2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3.35</v>
      </c>
      <c r="AM38">
        <v>3.35</v>
      </c>
      <c r="AN38">
        <v>4.75</v>
      </c>
      <c r="AO38">
        <v>5.05</v>
      </c>
      <c r="AP38">
        <v>4.8499999999999996</v>
      </c>
      <c r="AQ38">
        <v>5.0999999999999996</v>
      </c>
      <c r="AR38">
        <v>4.9000000000000004</v>
      </c>
      <c r="AS38">
        <v>5.15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5.0999999999999996</v>
      </c>
      <c r="BG38">
        <v>5.4</v>
      </c>
      <c r="BH38">
        <v>5.0999999999999996</v>
      </c>
      <c r="BI38">
        <v>5.4</v>
      </c>
      <c r="BJ38">
        <v>5.0999999999999996</v>
      </c>
      <c r="BK38">
        <v>5.35</v>
      </c>
      <c r="BL38">
        <v>5.05</v>
      </c>
      <c r="BM38">
        <v>5.35</v>
      </c>
    </row>
    <row r="39" spans="5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2.4</v>
      </c>
      <c r="S39">
        <v>2.4</v>
      </c>
      <c r="T39">
        <v>2.5499999999999998</v>
      </c>
      <c r="U39">
        <v>2.5499999999999998</v>
      </c>
      <c r="V39">
        <v>2.7</v>
      </c>
      <c r="W39">
        <v>2.7</v>
      </c>
      <c r="X39">
        <v>2.9</v>
      </c>
      <c r="Y39">
        <v>2.9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3.05</v>
      </c>
      <c r="AM39">
        <v>3.05</v>
      </c>
      <c r="AN39">
        <v>4.5999999999999996</v>
      </c>
      <c r="AO39">
        <v>4.8499999999999996</v>
      </c>
      <c r="AP39">
        <v>4.6500000000000004</v>
      </c>
      <c r="AQ39">
        <v>4.95</v>
      </c>
      <c r="AR39">
        <v>4.7</v>
      </c>
      <c r="AS39">
        <v>5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4.95</v>
      </c>
      <c r="BG39">
        <v>5.2</v>
      </c>
      <c r="BH39">
        <v>4.95</v>
      </c>
      <c r="BI39">
        <v>5.2</v>
      </c>
      <c r="BJ39">
        <v>4.95</v>
      </c>
      <c r="BK39">
        <v>5.2</v>
      </c>
      <c r="BL39">
        <v>4.95</v>
      </c>
      <c r="BM39">
        <v>5.2</v>
      </c>
    </row>
    <row r="40" spans="5:65" hidden="1" x14ac:dyDescent="0.2">
      <c r="G40" t="s">
        <v>71</v>
      </c>
      <c r="H40" s="142">
        <v>188</v>
      </c>
      <c r="I40" s="142"/>
      <c r="J40" s="142">
        <v>211</v>
      </c>
      <c r="K40" s="142"/>
      <c r="L40" s="142">
        <v>235</v>
      </c>
      <c r="M40" s="142"/>
      <c r="N40" s="142">
        <v>257</v>
      </c>
      <c r="O40" s="142"/>
      <c r="R40" s="142">
        <v>179</v>
      </c>
      <c r="S40" s="142"/>
      <c r="T40" s="142">
        <v>202</v>
      </c>
      <c r="U40" s="142"/>
      <c r="V40" s="142">
        <v>225</v>
      </c>
      <c r="W40" s="142"/>
      <c r="X40" s="142">
        <v>248</v>
      </c>
      <c r="Y40" s="142"/>
      <c r="AB40" s="142">
        <v>195</v>
      </c>
      <c r="AC40" s="142"/>
      <c r="AD40" s="142">
        <v>233</v>
      </c>
      <c r="AE40" s="142"/>
      <c r="AF40" s="142">
        <v>256</v>
      </c>
      <c r="AG40" s="142"/>
      <c r="AH40" s="142">
        <v>279</v>
      </c>
      <c r="AI40" s="142"/>
      <c r="AL40" s="142">
        <v>198</v>
      </c>
      <c r="AM40" s="142"/>
      <c r="AN40" s="142">
        <v>233</v>
      </c>
      <c r="AO40" s="142"/>
      <c r="AP40" s="142">
        <v>256</v>
      </c>
      <c r="AQ40" s="142"/>
      <c r="AR40" s="142">
        <v>279</v>
      </c>
      <c r="AS40" s="142"/>
      <c r="AV40" s="142">
        <v>272</v>
      </c>
      <c r="AW40" s="142"/>
      <c r="AX40" s="142">
        <v>295</v>
      </c>
      <c r="AY40" s="142"/>
      <c r="AZ40" s="142">
        <v>318</v>
      </c>
      <c r="BA40" s="142"/>
      <c r="BB40" s="142">
        <v>341</v>
      </c>
      <c r="BC40" s="142"/>
      <c r="BF40" s="142">
        <v>272</v>
      </c>
      <c r="BG40" s="142"/>
      <c r="BH40" s="142">
        <v>295</v>
      </c>
      <c r="BI40" s="142"/>
      <c r="BJ40" s="142">
        <v>318</v>
      </c>
      <c r="BK40" s="142"/>
      <c r="BL40" s="142">
        <v>341</v>
      </c>
      <c r="BM40" s="142"/>
    </row>
    <row r="41" spans="5:65" hidden="1" x14ac:dyDescent="0.2">
      <c r="G41" t="s">
        <v>72</v>
      </c>
      <c r="H41" s="142">
        <v>62.5</v>
      </c>
      <c r="I41" s="142"/>
      <c r="J41" s="142">
        <v>72.5</v>
      </c>
      <c r="K41" s="142"/>
      <c r="L41" s="142">
        <v>82.5</v>
      </c>
      <c r="M41" s="142"/>
      <c r="N41" s="142">
        <v>92.5</v>
      </c>
      <c r="O41" s="142"/>
      <c r="R41" s="142">
        <v>61</v>
      </c>
      <c r="S41" s="142"/>
      <c r="T41" s="142">
        <v>71</v>
      </c>
      <c r="U41" s="142"/>
      <c r="V41" s="142">
        <v>81</v>
      </c>
      <c r="W41" s="142"/>
      <c r="X41" s="142">
        <v>91</v>
      </c>
      <c r="Y41" s="142"/>
      <c r="AB41" s="142">
        <v>69</v>
      </c>
      <c r="AC41" s="142"/>
      <c r="AD41" s="142">
        <v>76</v>
      </c>
      <c r="AE41" s="142"/>
      <c r="AF41" s="142">
        <v>84.5</v>
      </c>
      <c r="AG41" s="142"/>
      <c r="AH41" s="142">
        <v>94.5</v>
      </c>
      <c r="AI41" s="142"/>
      <c r="AL41" s="142">
        <v>69</v>
      </c>
      <c r="AM41" s="142"/>
      <c r="AN41" s="142">
        <v>76</v>
      </c>
      <c r="AO41" s="142"/>
      <c r="AP41" s="142">
        <v>84.5</v>
      </c>
      <c r="AQ41" s="142"/>
      <c r="AR41" s="142">
        <v>94.5</v>
      </c>
      <c r="AS41" s="142"/>
      <c r="AV41" s="142">
        <v>86</v>
      </c>
      <c r="AW41" s="142"/>
      <c r="AX41" s="142">
        <v>96</v>
      </c>
      <c r="AY41" s="142"/>
      <c r="AZ41" s="142">
        <v>106</v>
      </c>
      <c r="BA41" s="142"/>
      <c r="BB41" s="142">
        <v>116</v>
      </c>
      <c r="BC41" s="142"/>
      <c r="BF41" s="142">
        <v>86</v>
      </c>
      <c r="BG41" s="142"/>
      <c r="BH41" s="142">
        <v>96</v>
      </c>
      <c r="BI41" s="142"/>
      <c r="BJ41" s="142">
        <v>106</v>
      </c>
      <c r="BK41" s="142"/>
      <c r="BL41" s="142">
        <v>116</v>
      </c>
      <c r="BM41" s="142"/>
    </row>
    <row r="42" spans="5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</v>
      </c>
      <c r="I42" s="113">
        <f>+VLOOKUP($G$42,$G$16:$O$39,3,FALSE)</f>
        <v>5.15</v>
      </c>
      <c r="J42" s="113">
        <f>+VLOOKUP($G$42,$G$16:$O$39,4,FALSE)</f>
        <v>5.2</v>
      </c>
      <c r="K42" s="113">
        <f>+VLOOKUP($G$42,$G$16:$O$39,5,FALSE)</f>
        <v>5.4</v>
      </c>
      <c r="L42" s="113">
        <f>+VLOOKUP($G$42,$G$16:$O$39,6,FALSE)</f>
        <v>5.4</v>
      </c>
      <c r="M42" s="113">
        <f>+VLOOKUP($G$42,$G$16:$O$39,7,FALSE)</f>
        <v>5.6</v>
      </c>
      <c r="N42" s="113">
        <f>+VLOOKUP($G$42,$G$16:$O$39,8,FALSE)</f>
        <v>5.55</v>
      </c>
      <c r="O42" s="113">
        <f>+VLOOKUP($G$42,$G$16:$O$39,9,FALSE)</f>
        <v>5.85</v>
      </c>
      <c r="Q42" t="str">
        <f>+DIM!$AK$20&amp;"+"&amp;DIM!$S$14</f>
        <v>251+150</v>
      </c>
      <c r="R42" s="113">
        <f>+VLOOKUP($Q$42,$Q$16:$Y$39,2,FALSE)</f>
        <v>4.5999999999999996</v>
      </c>
      <c r="S42" s="113">
        <f>+VLOOKUP($Q$42,$Q$16:$Y$39,3,FALSE)</f>
        <v>4.5999999999999996</v>
      </c>
      <c r="T42" s="113">
        <f>+VLOOKUP($Q$42,$Q$16:$Y$39,4,FALSE)</f>
        <v>4.8</v>
      </c>
      <c r="U42" s="113">
        <f>+VLOOKUP($Q$42,$Q$16:$Y$39,5,FALSE)</f>
        <v>4.95</v>
      </c>
      <c r="V42" s="113">
        <f>+VLOOKUP($Q$42,$Q$16:$Y$39,6,FALSE)</f>
        <v>4.8</v>
      </c>
      <c r="W42" s="113">
        <f>+VLOOKUP($Q$42,$Q$16:$Y$39,7,FALSE)</f>
        <v>4.9000000000000004</v>
      </c>
      <c r="X42" s="113">
        <f>+VLOOKUP($Q$42,$Q$16:$Y$39,8,FALSE)</f>
        <v>4.7</v>
      </c>
      <c r="Y42" s="113">
        <f>+VLOOKUP($Q$42,$Q$16:$Y$39,9,FALSE)</f>
        <v>4.75</v>
      </c>
      <c r="AA42" t="str">
        <f>+DIM!$AK$20&amp;"+"&amp;DIM!$S$14</f>
        <v>251+150</v>
      </c>
      <c r="AB42" s="113">
        <f>+VLOOKUP($AA$42,$AA$16:$AI$41,2,FALSE)</f>
        <v>5.8</v>
      </c>
      <c r="AC42" s="113">
        <f>+VLOOKUP($AA$42,$AA$16:$AI$41,3,FALSE)</f>
        <v>6.3</v>
      </c>
      <c r="AD42" s="113">
        <f>+VLOOKUP($AA$42,$AA$16:$AI$41,4,FALSE)</f>
        <v>6.15</v>
      </c>
      <c r="AE42" s="113">
        <f>+VLOOKUP($AA$42,$AA$16:$AI$41,5,FALSE)</f>
        <v>6.7</v>
      </c>
      <c r="AF42" s="113">
        <f>+VLOOKUP($AA$42,$AA$16:$AI$41,6,FALSE)</f>
        <v>6.25</v>
      </c>
      <c r="AG42" s="113">
        <f>+VLOOKUP($AA$42,$AA$16:$AI$41,7,FALSE)</f>
        <v>6.85</v>
      </c>
      <c r="AH42" s="113">
        <f>+VLOOKUP($AA$42,$AA$16:$AI$41,8,FALSE)</f>
        <v>6.4</v>
      </c>
      <c r="AI42" s="113">
        <f>+VLOOKUP($AA$42,$AA$16:$AI$41,9,FALSE)</f>
        <v>7.05</v>
      </c>
      <c r="AK42" t="str">
        <f>+DIM!$AK$20&amp;"+"&amp;DIM!$S$14</f>
        <v>251+150</v>
      </c>
      <c r="AL42" s="113">
        <f>+VLOOKUP($AK$42,$AK$16:$AS$41,2,FALSE)</f>
        <v>5.2</v>
      </c>
      <c r="AM42" s="113">
        <f>+VLOOKUP($AK$42,$AK$16:$AS$41,3,FALSE)</f>
        <v>5.2</v>
      </c>
      <c r="AN42" s="113">
        <f>+VLOOKUP($AK$42,$AK$16:$AS$41,4,FALSE)</f>
        <v>5.75</v>
      </c>
      <c r="AO42" s="113">
        <f>+VLOOKUP($AK$42,$AK$16:$AS$41,5,FALSE)</f>
        <v>6.05</v>
      </c>
      <c r="AP42" s="113">
        <f>+VLOOKUP($AK$42,$AK$16:$AS$41,6,FALSE)</f>
        <v>5.8</v>
      </c>
      <c r="AQ42" s="113">
        <f>+VLOOKUP($AK$42,$AK$16:$AS$41,7,FALSE)</f>
        <v>6.1</v>
      </c>
      <c r="AR42" s="113">
        <f>+VLOOKUP($AK$42,$AK$16:$AS$41,8,FALSE)</f>
        <v>5.7</v>
      </c>
      <c r="AS42" s="113">
        <f>+VLOOKUP($AK$42,$AK$16:$AS$41,9,FALSE)</f>
        <v>6</v>
      </c>
      <c r="AU42" t="str">
        <f>+DIM!$AK$20&amp;"+"&amp;DIM!$S$14</f>
        <v>251+150</v>
      </c>
      <c r="AV42" s="113">
        <f>+VLOOKUP($AU$42,$AU$16:$BC$41,2,FALSE)</f>
        <v>6.9</v>
      </c>
      <c r="AW42" s="113">
        <f>+VLOOKUP($AU$42,$AU$16:$BC$41,3,FALSE)</f>
        <v>7.55</v>
      </c>
      <c r="AX42" s="113">
        <f>+VLOOKUP($AU$42,$AU$16:$BC$41,4,FALSE)</f>
        <v>7.05</v>
      </c>
      <c r="AY42" s="113">
        <f>+VLOOKUP($AU$42,$AU$16:$BC$41,5,FALSE)</f>
        <v>7.8</v>
      </c>
      <c r="AZ42" s="113">
        <f>+VLOOKUP($AU$42,$AU$16:$BC$41,6,FALSE)</f>
        <v>7.2</v>
      </c>
      <c r="BA42" s="113">
        <f>+VLOOKUP($AU$42,$AU$16:$BC$41,7,FALSE)</f>
        <v>7.9</v>
      </c>
      <c r="BB42" s="113">
        <f>+VLOOKUP($AU$42,$AU$16:$BC$41,8,FALSE)</f>
        <v>7.3</v>
      </c>
      <c r="BC42" s="113">
        <f>+VLOOKUP($AU$42,$AU$16:$BC$41,9,FALSE)</f>
        <v>8.0500000000000007</v>
      </c>
      <c r="BE42" t="str">
        <f>+DIM!$AK$20&amp;"+"&amp;DIM!$S$14</f>
        <v>251+150</v>
      </c>
      <c r="BF42" s="113">
        <f>+VLOOKUP($BE$42,$BE$16:$BM$41,2,FALSE)</f>
        <v>6.05</v>
      </c>
      <c r="BG42" s="113">
        <f>+VLOOKUP($BE$42,$BE$16:$BM$41,3,FALSE)</f>
        <v>6.05</v>
      </c>
      <c r="BH42" s="113">
        <f>+VLOOKUP($BE$42,$BE$16:$BM$41,4,FALSE)</f>
        <v>5.8</v>
      </c>
      <c r="BI42" s="113">
        <f>+VLOOKUP($BE$42,$BE$16:$BM$41,5,FALSE)</f>
        <v>5.9</v>
      </c>
      <c r="BJ42" s="113">
        <f>+VLOOKUP($BE$42,$BE$16:$BM$41,6,FALSE)</f>
        <v>5.7</v>
      </c>
      <c r="BK42" s="113">
        <f>+VLOOKUP($BE$42,$BE$16:$BM$41,7,FALSE)</f>
        <v>5.75</v>
      </c>
      <c r="BL42" s="113">
        <f>+VLOOKUP($BE$42,$BE$16:$BM$41,8,FALSE)</f>
        <v>5.6</v>
      </c>
      <c r="BM42" s="113">
        <f>+VLOOKUP($BE$42,$BE$16:$BM$41,9,FALSE)</f>
        <v>5.6</v>
      </c>
    </row>
    <row r="43" spans="5:65" hidden="1" x14ac:dyDescent="0.2">
      <c r="F43" t="s">
        <v>47</v>
      </c>
      <c r="G43" t="str">
        <f>+DIM!AD15</f>
        <v>AL</v>
      </c>
      <c r="H43" s="141">
        <f>+IF(DIM!$AD$15=ebsvs!$H$15,ebsvs!H42,ebsvs!I42)</f>
        <v>5</v>
      </c>
      <c r="I43" s="141"/>
      <c r="J43" s="141">
        <f>+IF(DIM!$AD$15=ebsvs!$H$15,ebsvs!J42,ebsvs!K42)</f>
        <v>5.2</v>
      </c>
      <c r="K43" s="141"/>
      <c r="L43" s="141">
        <f>+IF(DIM!$AD$15=ebsvs!$H$15,ebsvs!L42,ebsvs!M42)</f>
        <v>5.4</v>
      </c>
      <c r="M43" s="141"/>
      <c r="N43" s="141">
        <f>+IF(DIM!$AD$15=ebsvs!$H$15,ebsvs!N42,ebsvs!O42)</f>
        <v>5.55</v>
      </c>
      <c r="O43" s="141"/>
      <c r="Q43" t="str">
        <f>+DIM!AD15</f>
        <v>AL</v>
      </c>
      <c r="R43" s="143">
        <f>+IF(DIM!$AD$15=ebsvs!$H$15,ebsvs!R42,ebsvs!S42)</f>
        <v>4.5999999999999996</v>
      </c>
      <c r="S43" s="144"/>
      <c r="T43" s="143">
        <f>+IF(DIM!$AD$15=ebsvs!$H$15,ebsvs!T42,ebsvs!U42)</f>
        <v>4.8</v>
      </c>
      <c r="U43" s="144"/>
      <c r="V43" s="143">
        <f>+IF(DIM!$AD$15=ebsvs!$H$15,ebsvs!V42,ebsvs!W42)</f>
        <v>4.8</v>
      </c>
      <c r="W43" s="144"/>
      <c r="X43" s="143">
        <f>+IF(DIM!$AD$15=ebsvs!$H$15,ebsvs!X42,ebsvs!Y42)</f>
        <v>4.7</v>
      </c>
      <c r="Y43" s="144"/>
      <c r="AA43" t="str">
        <f>+DIM!AD15</f>
        <v>AL</v>
      </c>
      <c r="AB43" s="143">
        <f>+IF(DIM!$AD$15=ebsvs!$H$15,ebsvs!AB42,ebsvs!AC42)</f>
        <v>5.8</v>
      </c>
      <c r="AC43" s="144"/>
      <c r="AD43" s="143">
        <f>+IF(DIM!$AD$15=ebsvs!$H$15,ebsvs!AD42,ebsvs!AE42)</f>
        <v>6.15</v>
      </c>
      <c r="AE43" s="144"/>
      <c r="AF43" s="143">
        <f>+IF(DIM!$AD$15=ebsvs!$H$15,ebsvs!AF42,ebsvs!AG42)</f>
        <v>6.25</v>
      </c>
      <c r="AG43" s="144"/>
      <c r="AH43" s="143">
        <f>+IF(DIM!$AD$15=ebsvs!$H$15,ebsvs!AH42,ebsvs!AI42)</f>
        <v>6.4</v>
      </c>
      <c r="AI43" s="144"/>
      <c r="AK43" t="str">
        <f>+DIM!AD15</f>
        <v>AL</v>
      </c>
      <c r="AL43" s="143">
        <f>+IF(DIM!$AD$15=ebsvs!$H$15,ebsvs!AL42,ebsvs!AM42)</f>
        <v>5.2</v>
      </c>
      <c r="AM43" s="144"/>
      <c r="AN43" s="143">
        <f>+IF(DIM!$AD$15=ebsvs!$H$15,ebsvs!AN42,ebsvs!AO42)</f>
        <v>5.75</v>
      </c>
      <c r="AO43" s="144"/>
      <c r="AP43" s="143">
        <f>+IF(DIM!$AD$15=ebsvs!$H$15,ebsvs!AP42,ebsvs!AQ42)</f>
        <v>5.8</v>
      </c>
      <c r="AQ43" s="144"/>
      <c r="AR43" s="143">
        <f>+IF(DIM!$AD$15=ebsvs!$H$15,ebsvs!AR42,ebsvs!AS42)</f>
        <v>5.7</v>
      </c>
      <c r="AS43" s="144"/>
      <c r="AU43" t="str">
        <f>+AK43</f>
        <v>AL</v>
      </c>
      <c r="AV43" s="143">
        <f>+IF(DIM!$AD$15=ebsvs!$H$15,ebsvs!AV42,ebsvs!AW42)</f>
        <v>6.9</v>
      </c>
      <c r="AW43" s="144"/>
      <c r="AX43" s="143">
        <f>+IF(DIM!$AD$15=ebsvs!$H$15,ebsvs!AX42,ebsvs!AY42)</f>
        <v>7.05</v>
      </c>
      <c r="AY43" s="144"/>
      <c r="AZ43" s="143">
        <f>+IF(DIM!$AD$15=ebsvs!$H$15,ebsvs!AZ42,ebsvs!BA42)</f>
        <v>7.2</v>
      </c>
      <c r="BA43" s="144"/>
      <c r="BB43" s="143">
        <f>+IF(DIM!$AD$15=ebsvs!$H$15,ebsvs!BB42,ebsvs!BC42)</f>
        <v>7.3</v>
      </c>
      <c r="BC43" s="144"/>
      <c r="BE43" t="str">
        <f>+AU43</f>
        <v>AL</v>
      </c>
      <c r="BF43" s="143">
        <f>+IF(DIM!$AD$15=ebsvs!$H$15,ebsvs!BF42,ebsvs!BG42)</f>
        <v>6.05</v>
      </c>
      <c r="BG43" s="144"/>
      <c r="BH43" s="143">
        <f>+IF(DIM!$AD$15=ebsvs!$H$15,ebsvs!BH42,ebsvs!BI42)</f>
        <v>5.8</v>
      </c>
      <c r="BI43" s="144"/>
      <c r="BJ43" s="143">
        <f>+IF(DIM!$AD$15=ebsvs!$H$15,ebsvs!BJ42,ebsvs!BK42)</f>
        <v>5.7</v>
      </c>
      <c r="BK43" s="144"/>
      <c r="BL43" s="143">
        <f>+IF(DIM!$AD$15=ebsvs!$H$15,ebsvs!BL42,ebsvs!BM42)</f>
        <v>5.6</v>
      </c>
      <c r="BM43" s="144"/>
    </row>
    <row r="44" spans="5:65" hidden="1" x14ac:dyDescent="0.2">
      <c r="F44" t="s">
        <v>48</v>
      </c>
      <c r="G44" s="114">
        <f>+DIM!S31</f>
        <v>5</v>
      </c>
      <c r="K44" s="115">
        <f>+HLOOKUP(G44,H14:O43,30,FALSE)</f>
        <v>5</v>
      </c>
      <c r="Q44" s="114">
        <f>+DIM!S31</f>
        <v>5</v>
      </c>
      <c r="U44" s="115">
        <f>+HLOOKUP(Q44,R14:Y43,30,FALSE)</f>
        <v>4.5999999999999996</v>
      </c>
      <c r="AA44" s="114">
        <f>+DIM!S31</f>
        <v>5</v>
      </c>
      <c r="AE44" s="115">
        <f>+HLOOKUP(AA44,AB14:AI43,30,FALSE)</f>
        <v>5.8</v>
      </c>
      <c r="AK44" s="114">
        <f>+AA44</f>
        <v>5</v>
      </c>
      <c r="AO44" s="115">
        <f>+HLOOKUP(AK44,AL14:AS43,30,FALSE)</f>
        <v>5.2</v>
      </c>
      <c r="AU44" s="113">
        <f>+AK44</f>
        <v>5</v>
      </c>
      <c r="AY44" s="115">
        <f>+HLOOKUP(AU44,AV14:BC43,30,FALSE)</f>
        <v>6.9</v>
      </c>
      <c r="BE44" s="114">
        <f>+AU44</f>
        <v>5</v>
      </c>
      <c r="BI44" s="115">
        <f>+HLOOKUP(BE44,BF14:BM43,30,FALSE)</f>
        <v>6.05</v>
      </c>
    </row>
    <row r="45" spans="5:65" hidden="1" x14ac:dyDescent="0.2">
      <c r="E45">
        <f>+DIM!Q31</f>
        <v>12</v>
      </c>
      <c r="F45" t="s">
        <v>65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  <c r="AY45" s="116" t="str">
        <f>+AY10&amp;"+"&amp;AU44</f>
        <v>20+5</v>
      </c>
      <c r="BI45" s="116" t="str">
        <f>+BI10&amp;"+"&amp;BE44</f>
        <v>20+5</v>
      </c>
    </row>
    <row r="46" spans="5:65" hidden="1" x14ac:dyDescent="0.2">
      <c r="F46" t="s">
        <v>66</v>
      </c>
      <c r="G46" t="str">
        <f>+DIM!S19</f>
        <v>avec etai</v>
      </c>
      <c r="K46" s="111">
        <f>+HLOOKUP(G44,H14:O40,27,FALSE)</f>
        <v>188</v>
      </c>
      <c r="U46" s="111">
        <f>+HLOOKUP(Q44,R14:Y40,27,FALSE)</f>
        <v>179</v>
      </c>
      <c r="AE46" s="111">
        <f>+HLOOKUP(AA44,AB14:AI40,27,FALSE)</f>
        <v>195</v>
      </c>
      <c r="AO46" s="111">
        <f>+HLOOKUP(AK44,AL14:AS40,27,FALSE)</f>
        <v>198</v>
      </c>
      <c r="AY46" s="111">
        <f>+HLOOKUP(AU44,AV14:BC40,27,FALSE)</f>
        <v>272</v>
      </c>
      <c r="BI46" s="111">
        <f>+HLOOKUP(BE44,BF14:BM40,27,FALSE)</f>
        <v>272</v>
      </c>
    </row>
    <row r="47" spans="5:65" hidden="1" x14ac:dyDescent="0.2">
      <c r="F47">
        <v>12</v>
      </c>
      <c r="G47">
        <f>+IF($G$46="avec etai",K44,U44)</f>
        <v>5</v>
      </c>
      <c r="H47">
        <f>+IF($G$46="avec etai",K46,U46)</f>
        <v>188</v>
      </c>
      <c r="I47">
        <f>+IF($G$46="avec etai",K47,U47)</f>
        <v>62.5</v>
      </c>
      <c r="K47" s="111">
        <f>+HLOOKUP(G44,H14:O41,28,FALSE)</f>
        <v>62.5</v>
      </c>
      <c r="U47" s="111">
        <f>+HLOOKUP(Q44,R14:Y41,28,FALSE)</f>
        <v>61</v>
      </c>
      <c r="AE47" s="111">
        <f>+HLOOKUP(AA44,AB14:AI41,28,FALSE)</f>
        <v>69</v>
      </c>
      <c r="AO47" s="111">
        <f>+HLOOKUP(AK44,AL14:AS41,28,FALSE)</f>
        <v>69</v>
      </c>
      <c r="AY47" s="111">
        <f>+HLOOKUP(AU44,AV14:BC41,28,FALSE)</f>
        <v>86</v>
      </c>
      <c r="BI47" s="111">
        <f>+HLOOKUP(BE44,BF14:BM41,28,FALSE)</f>
        <v>86</v>
      </c>
    </row>
    <row r="48" spans="5:65" hidden="1" x14ac:dyDescent="0.2">
      <c r="F48">
        <v>15</v>
      </c>
      <c r="G48">
        <f>+IF($G$46="avec etai",AE44,AO44)</f>
        <v>5.8</v>
      </c>
      <c r="H48">
        <f>+IF($G$46="avec etai",AE46,AO46)</f>
        <v>195</v>
      </c>
      <c r="I48">
        <f>+IF($G$46="avec etai",AE47,AO47)</f>
        <v>69</v>
      </c>
    </row>
    <row r="49" spans="5:65" ht="19.5" hidden="1" x14ac:dyDescent="0.35">
      <c r="F49">
        <v>20</v>
      </c>
      <c r="G49">
        <f>+IF($G$46="avec etai",AY44,BI44)</f>
        <v>6.9</v>
      </c>
      <c r="H49">
        <f>+IF($G$46="avec etai",AY46,BI46)</f>
        <v>272</v>
      </c>
      <c r="I49">
        <f>+IF($G$46="avec etaii",AY47,BI47)</f>
        <v>86</v>
      </c>
      <c r="K49" s="110">
        <v>12</v>
      </c>
      <c r="U49" s="110">
        <v>12</v>
      </c>
      <c r="AE49" s="110">
        <v>15</v>
      </c>
      <c r="AO49" s="110">
        <v>15</v>
      </c>
      <c r="AY49" s="110">
        <v>20</v>
      </c>
      <c r="BI49" s="110">
        <v>20</v>
      </c>
    </row>
    <row r="50" spans="5:65" hidden="1" x14ac:dyDescent="0.2">
      <c r="E50" t="s">
        <v>70</v>
      </c>
      <c r="F50" t="s">
        <v>74</v>
      </c>
      <c r="G50">
        <f>IF($E$45&gt;20,"--",+VLOOKUP(DIM!Q31,ebsvs!F47:I49,2,FALSE))</f>
        <v>5</v>
      </c>
      <c r="K50" s="111" t="s">
        <v>78</v>
      </c>
      <c r="U50" s="111" t="s">
        <v>83</v>
      </c>
      <c r="AE50" s="111" t="s">
        <v>84</v>
      </c>
      <c r="AO50" s="111" t="s">
        <v>79</v>
      </c>
      <c r="AY50" s="111" t="s">
        <v>84</v>
      </c>
      <c r="BI50" s="111" t="s">
        <v>79</v>
      </c>
    </row>
    <row r="51" spans="5:65" hidden="1" x14ac:dyDescent="0.2">
      <c r="F51" t="s">
        <v>75</v>
      </c>
      <c r="G51">
        <f>IF($E$45&gt;20,0,+VLOOKUP(DIM!Q31,ebsvs!F47:I49,3,FALSE))</f>
        <v>188</v>
      </c>
    </row>
    <row r="52" spans="5:65" hidden="1" x14ac:dyDescent="0.2">
      <c r="F52" t="s">
        <v>72</v>
      </c>
      <c r="G52">
        <f>IF($E$45&gt;20,0,+VLOOKUP(DIM!Q31,ebsvs!F47:I49,4,FALSE))</f>
        <v>62.5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  <c r="AY56" s="110">
        <v>20</v>
      </c>
      <c r="AZ56" s="110" t="s">
        <v>87</v>
      </c>
      <c r="BI56" s="110">
        <v>20</v>
      </c>
      <c r="BJ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  <c r="AY57" s="111" t="s">
        <v>84</v>
      </c>
      <c r="BI57" s="111" t="s">
        <v>79</v>
      </c>
    </row>
    <row r="58" spans="5:65" hidden="1" x14ac:dyDescent="0.2">
      <c r="H58">
        <v>137</v>
      </c>
      <c r="R58">
        <v>937</v>
      </c>
      <c r="T58">
        <v>937</v>
      </c>
      <c r="U58">
        <v>937</v>
      </c>
      <c r="V58">
        <v>937</v>
      </c>
      <c r="W58">
        <v>937</v>
      </c>
      <c r="X58">
        <v>937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  <c r="AV60" s="141">
        <v>5</v>
      </c>
      <c r="AW60" s="141"/>
      <c r="AX60" s="141">
        <v>6</v>
      </c>
      <c r="AY60" s="141"/>
      <c r="AZ60" s="141">
        <v>7</v>
      </c>
      <c r="BA60" s="141"/>
      <c r="BB60" s="141">
        <v>8</v>
      </c>
      <c r="BC60" s="141"/>
      <c r="BF60" s="141">
        <v>5</v>
      </c>
      <c r="BG60" s="141"/>
      <c r="BH60" s="141">
        <v>6</v>
      </c>
      <c r="BI60" s="141"/>
      <c r="BJ60" s="141">
        <v>7</v>
      </c>
      <c r="BK60" s="141"/>
      <c r="BL60" s="141">
        <v>8</v>
      </c>
      <c r="BM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  <c r="AV61" s="112" t="s">
        <v>24</v>
      </c>
      <c r="AW61" s="112" t="s">
        <v>25</v>
      </c>
      <c r="AX61" s="112" t="s">
        <v>24</v>
      </c>
      <c r="AY61" s="112" t="s">
        <v>25</v>
      </c>
      <c r="AZ61" s="112" t="s">
        <v>24</v>
      </c>
      <c r="BA61" s="112" t="s">
        <v>25</v>
      </c>
      <c r="BB61" s="112" t="s">
        <v>24</v>
      </c>
      <c r="BC61" s="112" t="s">
        <v>25</v>
      </c>
      <c r="BF61" s="112" t="s">
        <v>24</v>
      </c>
      <c r="BG61" s="112" t="s">
        <v>25</v>
      </c>
      <c r="BH61" s="112" t="s">
        <v>24</v>
      </c>
      <c r="BI61" s="112" t="s">
        <v>25</v>
      </c>
      <c r="BJ61" s="112" t="s">
        <v>24</v>
      </c>
      <c r="BK61" s="112" t="s">
        <v>25</v>
      </c>
      <c r="BL61" s="112" t="s">
        <v>24</v>
      </c>
      <c r="BM61" s="112" t="s">
        <v>25</v>
      </c>
    </row>
    <row r="62" spans="5:65" hidden="1" x14ac:dyDescent="0.2">
      <c r="G62" t="s">
        <v>166</v>
      </c>
      <c r="H62">
        <v>7</v>
      </c>
      <c r="I62">
        <v>7.5</v>
      </c>
      <c r="J62">
        <v>7.2</v>
      </c>
      <c r="K62">
        <v>7.75</v>
      </c>
      <c r="L62">
        <v>7.4</v>
      </c>
      <c r="M62">
        <v>8</v>
      </c>
      <c r="N62">
        <v>7.6</v>
      </c>
      <c r="O62">
        <v>8.25</v>
      </c>
      <c r="Q62" t="s">
        <v>166</v>
      </c>
      <c r="R62">
        <v>6.8</v>
      </c>
      <c r="S62">
        <v>6.8</v>
      </c>
      <c r="T62">
        <v>6.6</v>
      </c>
      <c r="U62">
        <v>6.6</v>
      </c>
      <c r="V62">
        <v>6.4</v>
      </c>
      <c r="W62">
        <v>6.4</v>
      </c>
      <c r="X62">
        <v>6.25</v>
      </c>
      <c r="Y62">
        <v>6.25</v>
      </c>
      <c r="AA62" t="s">
        <v>166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8.4</v>
      </c>
      <c r="AI62">
        <v>9</v>
      </c>
      <c r="AK62" t="s">
        <v>166</v>
      </c>
      <c r="AL62">
        <v>6.6</v>
      </c>
      <c r="AM62">
        <v>6.6</v>
      </c>
      <c r="AN62">
        <v>7.85</v>
      </c>
      <c r="AO62">
        <v>7.85</v>
      </c>
      <c r="AP62">
        <v>7.65</v>
      </c>
      <c r="AQ62">
        <v>7.65</v>
      </c>
      <c r="AR62">
        <v>7.45</v>
      </c>
      <c r="AS62">
        <v>7.45</v>
      </c>
      <c r="AU62" t="s">
        <v>166</v>
      </c>
      <c r="AV62">
        <v>9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166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34</v>
      </c>
      <c r="H63">
        <v>6.65</v>
      </c>
      <c r="I63">
        <v>6.8</v>
      </c>
      <c r="J63">
        <v>6.6</v>
      </c>
      <c r="K63">
        <v>6.6</v>
      </c>
      <c r="L63">
        <v>6.4</v>
      </c>
      <c r="M63">
        <v>6.4</v>
      </c>
      <c r="N63">
        <v>6.25</v>
      </c>
      <c r="O63">
        <v>6.25</v>
      </c>
      <c r="Q63" t="s">
        <v>34</v>
      </c>
      <c r="R63">
        <v>6.65</v>
      </c>
      <c r="S63">
        <v>6.8</v>
      </c>
      <c r="T63">
        <v>6.6</v>
      </c>
      <c r="U63">
        <v>6.6</v>
      </c>
      <c r="V63">
        <v>6.4</v>
      </c>
      <c r="W63">
        <v>6.4</v>
      </c>
      <c r="X63">
        <v>6.25</v>
      </c>
      <c r="Y63">
        <v>6.25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6.6</v>
      </c>
      <c r="AM63">
        <v>6.6</v>
      </c>
      <c r="AN63">
        <v>7.6</v>
      </c>
      <c r="AO63">
        <v>7.85</v>
      </c>
      <c r="AP63">
        <v>7.65</v>
      </c>
      <c r="AQ63">
        <v>7.65</v>
      </c>
      <c r="AR63">
        <v>7.45</v>
      </c>
      <c r="AS63">
        <v>7.45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7.45</v>
      </c>
      <c r="BG63">
        <v>7.45</v>
      </c>
      <c r="BH63">
        <v>7.25</v>
      </c>
      <c r="BI63">
        <v>7.25</v>
      </c>
      <c r="BJ63">
        <v>7.1</v>
      </c>
      <c r="BK63">
        <v>7.1</v>
      </c>
      <c r="BL63">
        <v>6.9</v>
      </c>
      <c r="BM63">
        <v>6.9</v>
      </c>
    </row>
    <row r="64" spans="5:65" hidden="1" x14ac:dyDescent="0.2">
      <c r="G64" t="s">
        <v>35</v>
      </c>
      <c r="H64">
        <v>6.3</v>
      </c>
      <c r="I64">
        <v>6.8</v>
      </c>
      <c r="J64">
        <v>6.5</v>
      </c>
      <c r="K64">
        <v>6.6</v>
      </c>
      <c r="L64">
        <v>6.3</v>
      </c>
      <c r="M64">
        <v>6.4</v>
      </c>
      <c r="N64">
        <v>6.2</v>
      </c>
      <c r="O64">
        <v>6.25</v>
      </c>
      <c r="Q64" t="s">
        <v>35</v>
      </c>
      <c r="R64">
        <v>6.3</v>
      </c>
      <c r="S64">
        <v>6.8</v>
      </c>
      <c r="T64">
        <v>6.5</v>
      </c>
      <c r="U64">
        <v>6.6</v>
      </c>
      <c r="V64">
        <v>6.3</v>
      </c>
      <c r="W64">
        <v>6.4</v>
      </c>
      <c r="X64">
        <v>6.2</v>
      </c>
      <c r="Y64">
        <v>6.25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6.6</v>
      </c>
      <c r="AM64">
        <v>6.6</v>
      </c>
      <c r="AN64">
        <v>7.4</v>
      </c>
      <c r="AO64">
        <v>7.8</v>
      </c>
      <c r="AP64">
        <v>7.45</v>
      </c>
      <c r="AQ64">
        <v>7.65</v>
      </c>
      <c r="AR64">
        <v>7.35</v>
      </c>
      <c r="AS64">
        <v>7.45</v>
      </c>
      <c r="AU64" t="s">
        <v>35</v>
      </c>
      <c r="AV64">
        <v>8.4</v>
      </c>
      <c r="AW64">
        <v>9.1999999999999993</v>
      </c>
      <c r="AX64">
        <v>8.6</v>
      </c>
      <c r="AY64">
        <v>99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7.45</v>
      </c>
      <c r="BG64">
        <v>7.45</v>
      </c>
      <c r="BH64">
        <v>7.25</v>
      </c>
      <c r="BI64">
        <v>7.25</v>
      </c>
      <c r="BJ64">
        <v>7.1</v>
      </c>
      <c r="BK64">
        <v>7.1</v>
      </c>
      <c r="BL64">
        <v>6.9</v>
      </c>
      <c r="BM64">
        <v>6.9</v>
      </c>
    </row>
    <row r="65" spans="7:65" hidden="1" x14ac:dyDescent="0.2">
      <c r="G65" t="s">
        <v>36</v>
      </c>
      <c r="H65">
        <v>6</v>
      </c>
      <c r="I65">
        <v>6.55</v>
      </c>
      <c r="J65">
        <v>6.2</v>
      </c>
      <c r="K65">
        <v>6.55</v>
      </c>
      <c r="L65">
        <v>6.15</v>
      </c>
      <c r="M65">
        <v>6.4</v>
      </c>
      <c r="N65">
        <v>6.1</v>
      </c>
      <c r="O65">
        <v>6.25</v>
      </c>
      <c r="Q65" t="s">
        <v>36</v>
      </c>
      <c r="R65">
        <v>6</v>
      </c>
      <c r="S65">
        <v>6.55</v>
      </c>
      <c r="T65">
        <v>6.2</v>
      </c>
      <c r="U65">
        <v>6.55</v>
      </c>
      <c r="V65">
        <v>6.15</v>
      </c>
      <c r="W65">
        <v>6.4</v>
      </c>
      <c r="X65">
        <v>6.1</v>
      </c>
      <c r="Y65">
        <v>6.25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6.6</v>
      </c>
      <c r="AN65">
        <v>7.2</v>
      </c>
      <c r="AO65">
        <v>7.55</v>
      </c>
      <c r="AP65">
        <v>7.25</v>
      </c>
      <c r="AQ65">
        <v>7.65</v>
      </c>
      <c r="AR65">
        <v>7.15</v>
      </c>
      <c r="AS65">
        <v>7.45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7.3</v>
      </c>
      <c r="BG65">
        <v>7.45</v>
      </c>
      <c r="BH65">
        <v>7.15</v>
      </c>
      <c r="BI65">
        <v>7.25</v>
      </c>
      <c r="BJ65">
        <v>7</v>
      </c>
      <c r="BK65">
        <v>7.1</v>
      </c>
      <c r="BL65">
        <v>6.9</v>
      </c>
      <c r="BM65">
        <v>6.9</v>
      </c>
    </row>
    <row r="66" spans="7:65" hidden="1" x14ac:dyDescent="0.2">
      <c r="G66" t="s">
        <v>37</v>
      </c>
      <c r="H66">
        <v>5.7</v>
      </c>
      <c r="I66">
        <v>6.3</v>
      </c>
      <c r="J66">
        <f>0.2+H66</f>
        <v>5.9</v>
      </c>
      <c r="K66">
        <v>6.4</v>
      </c>
      <c r="L66">
        <v>6</v>
      </c>
      <c r="M66">
        <v>6.35</v>
      </c>
      <c r="N66">
        <v>5.9</v>
      </c>
      <c r="O66">
        <v>6.25</v>
      </c>
      <c r="Q66" t="s">
        <v>37</v>
      </c>
      <c r="R66">
        <v>5.7</v>
      </c>
      <c r="S66">
        <v>6.3</v>
      </c>
      <c r="T66">
        <f>0.2+R66</f>
        <v>5.9</v>
      </c>
      <c r="U66">
        <v>6.4</v>
      </c>
      <c r="V66">
        <v>6</v>
      </c>
      <c r="W66">
        <v>6.35</v>
      </c>
      <c r="X66">
        <v>5.9</v>
      </c>
      <c r="Y66">
        <v>6.25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6.6</v>
      </c>
      <c r="AM66">
        <v>6.6</v>
      </c>
      <c r="AN66">
        <v>7</v>
      </c>
      <c r="AO66">
        <v>7.35</v>
      </c>
      <c r="AP66">
        <v>7.05</v>
      </c>
      <c r="AQ66">
        <v>7.45</v>
      </c>
      <c r="AR66">
        <v>7</v>
      </c>
      <c r="AS66">
        <v>7.35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7.15</v>
      </c>
      <c r="BG66">
        <v>7.45</v>
      </c>
      <c r="BH66">
        <v>7</v>
      </c>
      <c r="BI66">
        <v>7.25</v>
      </c>
      <c r="BJ66">
        <v>6.9</v>
      </c>
      <c r="BK66">
        <v>7.1</v>
      </c>
      <c r="BL66">
        <v>6.8</v>
      </c>
      <c r="BM66">
        <v>6.9</v>
      </c>
    </row>
    <row r="67" spans="7:65" hidden="1" x14ac:dyDescent="0.2">
      <c r="G67" t="s">
        <v>80</v>
      </c>
      <c r="H67">
        <v>5.5</v>
      </c>
      <c r="I67">
        <v>6.05</v>
      </c>
      <c r="J67">
        <f t="shared" ref="J67:J74" si="7">0.2+H67</f>
        <v>5.7</v>
      </c>
      <c r="K67">
        <v>6.2</v>
      </c>
      <c r="L67">
        <v>5.85</v>
      </c>
      <c r="M67">
        <v>6.2</v>
      </c>
      <c r="N67">
        <v>5.8</v>
      </c>
      <c r="O67">
        <v>0.1</v>
      </c>
      <c r="Q67" t="s">
        <v>80</v>
      </c>
      <c r="R67">
        <v>5.5</v>
      </c>
      <c r="S67">
        <v>6.05</v>
      </c>
      <c r="T67">
        <f t="shared" ref="T67:T82" si="8">0.2+R67</f>
        <v>5.7</v>
      </c>
      <c r="U67">
        <v>6.2</v>
      </c>
      <c r="V67">
        <v>5.85</v>
      </c>
      <c r="W67">
        <v>6.2</v>
      </c>
      <c r="X67">
        <v>5.8</v>
      </c>
      <c r="Y67">
        <v>0.1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6.15</v>
      </c>
      <c r="AM67">
        <v>6.45</v>
      </c>
      <c r="AN67">
        <v>6.75</v>
      </c>
      <c r="AO67">
        <v>7.15</v>
      </c>
      <c r="AP67">
        <v>6.85</v>
      </c>
      <c r="AQ67">
        <v>7.25</v>
      </c>
      <c r="AR67">
        <v>6.8</v>
      </c>
      <c r="AS67">
        <v>7.15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6.95</v>
      </c>
      <c r="BG67">
        <v>7.35</v>
      </c>
      <c r="BH67">
        <v>6.85</v>
      </c>
      <c r="BI67">
        <v>7.25</v>
      </c>
      <c r="BJ67">
        <v>6.75</v>
      </c>
      <c r="BK67">
        <v>7.1</v>
      </c>
      <c r="BL67">
        <v>6.65</v>
      </c>
      <c r="BM67">
        <v>6.9</v>
      </c>
    </row>
    <row r="68" spans="7:65" hidden="1" x14ac:dyDescent="0.2">
      <c r="G68" t="s">
        <v>38</v>
      </c>
      <c r="H68">
        <v>5.15</v>
      </c>
      <c r="I68">
        <v>5.7</v>
      </c>
      <c r="J68">
        <f t="shared" si="7"/>
        <v>5.3500000000000005</v>
      </c>
      <c r="K68">
        <v>5.9</v>
      </c>
      <c r="L68">
        <v>5.6</v>
      </c>
      <c r="M68">
        <v>5.9</v>
      </c>
      <c r="N68">
        <v>5.55</v>
      </c>
      <c r="O68">
        <v>5.85</v>
      </c>
      <c r="Q68" t="s">
        <v>38</v>
      </c>
      <c r="R68">
        <v>5.15</v>
      </c>
      <c r="S68">
        <v>5.7</v>
      </c>
      <c r="T68">
        <f t="shared" si="8"/>
        <v>5.3500000000000005</v>
      </c>
      <c r="U68">
        <v>5.9</v>
      </c>
      <c r="V68">
        <v>5.6</v>
      </c>
      <c r="W68">
        <v>5.9</v>
      </c>
      <c r="X68">
        <v>5.55</v>
      </c>
      <c r="Y68">
        <v>5.85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5.85</v>
      </c>
      <c r="AM68">
        <v>6.15</v>
      </c>
      <c r="AN68">
        <v>6.35</v>
      </c>
      <c r="AO68">
        <v>6.8</v>
      </c>
      <c r="AP68">
        <v>6.5</v>
      </c>
      <c r="AQ68">
        <v>6.9</v>
      </c>
      <c r="AR68">
        <v>6.5</v>
      </c>
      <c r="AS68">
        <v>6.85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7.05</v>
      </c>
      <c r="BH68">
        <v>6.6</v>
      </c>
      <c r="BI68">
        <v>7</v>
      </c>
      <c r="BJ68">
        <v>6.5</v>
      </c>
      <c r="BK68">
        <v>6.9</v>
      </c>
      <c r="BL68">
        <v>6.45</v>
      </c>
      <c r="BM68">
        <v>6.8</v>
      </c>
    </row>
    <row r="69" spans="7:65" hidden="1" x14ac:dyDescent="0.2">
      <c r="G69" t="s">
        <v>39</v>
      </c>
      <c r="H69">
        <v>4.8499999999999996</v>
      </c>
      <c r="I69">
        <v>5.2</v>
      </c>
      <c r="J69">
        <f t="shared" si="7"/>
        <v>5.05</v>
      </c>
      <c r="K69">
        <v>5.5</v>
      </c>
      <c r="L69">
        <v>5.3</v>
      </c>
      <c r="M69">
        <v>5.65</v>
      </c>
      <c r="N69">
        <v>5.35</v>
      </c>
      <c r="O69">
        <v>5.65</v>
      </c>
      <c r="Q69" t="s">
        <v>39</v>
      </c>
      <c r="R69">
        <v>4.8499999999999996</v>
      </c>
      <c r="S69">
        <v>5.2</v>
      </c>
      <c r="T69">
        <f t="shared" si="8"/>
        <v>5.05</v>
      </c>
      <c r="U69">
        <v>5.5</v>
      </c>
      <c r="V69">
        <v>5.3</v>
      </c>
      <c r="W69">
        <v>5.65</v>
      </c>
      <c r="X69">
        <v>5.35</v>
      </c>
      <c r="Y69">
        <v>5.65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5.55</v>
      </c>
      <c r="AM69">
        <v>5.92</v>
      </c>
      <c r="AN69">
        <v>6</v>
      </c>
      <c r="AO69">
        <v>6.45</v>
      </c>
      <c r="AP69">
        <v>6.15</v>
      </c>
      <c r="AQ69">
        <v>6.55</v>
      </c>
      <c r="AR69">
        <v>6.2</v>
      </c>
      <c r="AS69">
        <v>6.55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6.4</v>
      </c>
      <c r="BG69">
        <v>6.75</v>
      </c>
      <c r="BH69">
        <v>6.35</v>
      </c>
      <c r="BI69">
        <v>6.7</v>
      </c>
      <c r="BJ69">
        <v>6.3</v>
      </c>
      <c r="BK69">
        <v>6.65</v>
      </c>
      <c r="BL69">
        <v>6.25</v>
      </c>
      <c r="BM69">
        <v>6.6</v>
      </c>
    </row>
    <row r="70" spans="7:65" hidden="1" x14ac:dyDescent="0.2">
      <c r="G70" t="s">
        <v>167</v>
      </c>
      <c r="H70">
        <v>6.45</v>
      </c>
      <c r="I70">
        <v>6.8</v>
      </c>
      <c r="J70">
        <v>6.7</v>
      </c>
      <c r="K70">
        <v>7.05</v>
      </c>
      <c r="L70">
        <v>6.9</v>
      </c>
      <c r="M70">
        <v>7.3</v>
      </c>
      <c r="N70">
        <v>7.1</v>
      </c>
      <c r="O70">
        <v>7.5</v>
      </c>
      <c r="Q70" t="s">
        <v>167</v>
      </c>
      <c r="R70">
        <v>6.5</v>
      </c>
      <c r="S70">
        <v>6.8</v>
      </c>
      <c r="T70">
        <v>6.6</v>
      </c>
      <c r="U70">
        <v>6.6</v>
      </c>
      <c r="V70">
        <v>6.4</v>
      </c>
      <c r="W70">
        <v>6.4</v>
      </c>
      <c r="X70">
        <v>6.25</v>
      </c>
      <c r="Y70">
        <v>6.25</v>
      </c>
      <c r="AA70" t="s">
        <v>167</v>
      </c>
      <c r="AB70">
        <v>7.35</v>
      </c>
      <c r="AC70">
        <v>7.8</v>
      </c>
      <c r="AD70">
        <v>7.85</v>
      </c>
      <c r="AE70">
        <v>8.3000000000000007</v>
      </c>
      <c r="AF70">
        <v>8</v>
      </c>
      <c r="AG70">
        <v>8.5</v>
      </c>
      <c r="AH70">
        <v>8.15</v>
      </c>
      <c r="AI70">
        <v>8.6999999999999993</v>
      </c>
      <c r="AK70" t="s">
        <v>167</v>
      </c>
      <c r="AL70">
        <v>6.6</v>
      </c>
      <c r="AM70">
        <v>6.6</v>
      </c>
      <c r="AN70">
        <v>7.4</v>
      </c>
      <c r="AO70">
        <v>7.8</v>
      </c>
      <c r="AP70">
        <v>7.5</v>
      </c>
      <c r="AQ70">
        <v>7.65</v>
      </c>
      <c r="AR70">
        <v>7.45</v>
      </c>
      <c r="AS70">
        <v>7.45</v>
      </c>
      <c r="AU70" t="s">
        <v>167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167</v>
      </c>
      <c r="BF70">
        <v>7.45</v>
      </c>
      <c r="BG70">
        <v>7.45</v>
      </c>
      <c r="BH70">
        <v>7.25</v>
      </c>
      <c r="BI70">
        <v>7.25</v>
      </c>
      <c r="BJ70">
        <v>7.1</v>
      </c>
      <c r="BK70">
        <v>7.1</v>
      </c>
      <c r="BL70">
        <v>6.9</v>
      </c>
      <c r="BM70">
        <v>6.9</v>
      </c>
    </row>
    <row r="71" spans="7:65" hidden="1" x14ac:dyDescent="0.2">
      <c r="G71" t="s">
        <v>40</v>
      </c>
      <c r="H71">
        <v>6.2</v>
      </c>
      <c r="I71">
        <v>6.55</v>
      </c>
      <c r="J71">
        <f t="shared" si="7"/>
        <v>6.4</v>
      </c>
      <c r="K71">
        <v>6.6</v>
      </c>
      <c r="L71">
        <v>6.15</v>
      </c>
      <c r="M71">
        <v>6.4</v>
      </c>
      <c r="N71">
        <v>6.05</v>
      </c>
      <c r="O71">
        <v>6.25</v>
      </c>
      <c r="Q71" t="s">
        <v>40</v>
      </c>
      <c r="R71">
        <v>6.2</v>
      </c>
      <c r="S71">
        <v>6.55</v>
      </c>
      <c r="T71">
        <f t="shared" si="8"/>
        <v>6.4</v>
      </c>
      <c r="U71">
        <v>6.6</v>
      </c>
      <c r="V71">
        <v>6.15</v>
      </c>
      <c r="W71">
        <v>6.4</v>
      </c>
      <c r="X71">
        <v>6.05</v>
      </c>
      <c r="Y71">
        <v>6.25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6.4</v>
      </c>
      <c r="AM71">
        <v>6.6</v>
      </c>
      <c r="AN71">
        <v>7.2</v>
      </c>
      <c r="AO71">
        <v>7.55</v>
      </c>
      <c r="AP71">
        <v>7.25</v>
      </c>
      <c r="AQ71">
        <v>7.65</v>
      </c>
      <c r="AR71">
        <v>7.2</v>
      </c>
      <c r="AS71">
        <v>7.45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7.4</v>
      </c>
      <c r="BG71">
        <v>7.45</v>
      </c>
      <c r="BH71">
        <v>7.25</v>
      </c>
      <c r="BI71">
        <v>7.25</v>
      </c>
      <c r="BJ71">
        <v>7.1</v>
      </c>
      <c r="BK71">
        <v>7.1</v>
      </c>
      <c r="BL71">
        <v>6.9</v>
      </c>
      <c r="BM71">
        <v>6.9</v>
      </c>
    </row>
    <row r="72" spans="7:65" hidden="1" x14ac:dyDescent="0.2">
      <c r="G72" t="s">
        <v>41</v>
      </c>
      <c r="H72">
        <v>5.9</v>
      </c>
      <c r="I72">
        <v>6.3</v>
      </c>
      <c r="J72">
        <f t="shared" si="7"/>
        <v>6.1000000000000005</v>
      </c>
      <c r="K72">
        <v>6.4</v>
      </c>
      <c r="L72">
        <v>6</v>
      </c>
      <c r="M72">
        <v>6.3</v>
      </c>
      <c r="N72">
        <v>5.9</v>
      </c>
      <c r="O72">
        <v>6.25</v>
      </c>
      <c r="Q72" t="s">
        <v>41</v>
      </c>
      <c r="R72">
        <v>5.9</v>
      </c>
      <c r="S72">
        <v>6.3</v>
      </c>
      <c r="T72">
        <f t="shared" si="8"/>
        <v>6.1000000000000005</v>
      </c>
      <c r="U72">
        <v>6.4</v>
      </c>
      <c r="V72">
        <v>6</v>
      </c>
      <c r="W72">
        <v>6.3</v>
      </c>
      <c r="X72">
        <v>5.9</v>
      </c>
      <c r="Y72">
        <v>6.25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6.25</v>
      </c>
      <c r="AM72">
        <v>6.6</v>
      </c>
      <c r="AN72">
        <v>7</v>
      </c>
      <c r="AO72">
        <v>7.35</v>
      </c>
      <c r="AP72">
        <v>7.05</v>
      </c>
      <c r="AQ72">
        <v>7.45</v>
      </c>
      <c r="AR72">
        <v>7.05</v>
      </c>
      <c r="AS72">
        <v>7.4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7.2</v>
      </c>
      <c r="BG72">
        <v>7.45</v>
      </c>
      <c r="BH72">
        <v>7.1</v>
      </c>
      <c r="BI72">
        <v>7.25</v>
      </c>
      <c r="BJ72">
        <v>7.05</v>
      </c>
      <c r="BK72">
        <v>7.1</v>
      </c>
      <c r="BL72">
        <v>6.9</v>
      </c>
      <c r="BM72">
        <v>6.9</v>
      </c>
    </row>
    <row r="73" spans="7:65" hidden="1" x14ac:dyDescent="0.2">
      <c r="G73" t="s">
        <v>42</v>
      </c>
      <c r="H73">
        <v>5.65</v>
      </c>
      <c r="I73">
        <v>6.05</v>
      </c>
      <c r="J73">
        <f t="shared" si="7"/>
        <v>5.8500000000000005</v>
      </c>
      <c r="K73">
        <v>6.2</v>
      </c>
      <c r="L73">
        <v>5.85</v>
      </c>
      <c r="M73">
        <v>6.2</v>
      </c>
      <c r="N73">
        <v>5.8</v>
      </c>
      <c r="O73">
        <v>6.15</v>
      </c>
      <c r="Q73" t="s">
        <v>42</v>
      </c>
      <c r="R73">
        <v>5.65</v>
      </c>
      <c r="S73">
        <v>6.05</v>
      </c>
      <c r="T73">
        <f t="shared" si="8"/>
        <v>5.8500000000000005</v>
      </c>
      <c r="U73">
        <v>6.2</v>
      </c>
      <c r="V73">
        <v>5.85</v>
      </c>
      <c r="W73">
        <v>6.2</v>
      </c>
      <c r="X73">
        <v>5.8</v>
      </c>
      <c r="Y73">
        <v>6.15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6.15</v>
      </c>
      <c r="AM73">
        <v>6.75</v>
      </c>
      <c r="AN73">
        <v>6.8</v>
      </c>
      <c r="AO73">
        <v>7.2</v>
      </c>
      <c r="AP73">
        <v>6.9</v>
      </c>
      <c r="AQ73">
        <v>7.3</v>
      </c>
      <c r="AR73">
        <v>6.85</v>
      </c>
      <c r="AS73">
        <v>7.25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7.05</v>
      </c>
      <c r="BG73">
        <v>7.45</v>
      </c>
      <c r="BH73">
        <v>7</v>
      </c>
      <c r="BI73">
        <v>7.25</v>
      </c>
      <c r="BJ73">
        <v>6.9</v>
      </c>
      <c r="BK73">
        <v>7.1</v>
      </c>
      <c r="BL73">
        <v>6.8</v>
      </c>
      <c r="BM73">
        <v>6.9</v>
      </c>
    </row>
    <row r="74" spans="7:65" hidden="1" x14ac:dyDescent="0.2">
      <c r="G74" t="s">
        <v>43</v>
      </c>
      <c r="H74">
        <v>5.45</v>
      </c>
      <c r="I74">
        <v>5.85</v>
      </c>
      <c r="J74">
        <f t="shared" si="7"/>
        <v>5.65</v>
      </c>
      <c r="K74">
        <v>6.05</v>
      </c>
      <c r="L74">
        <v>5.75</v>
      </c>
      <c r="M74">
        <v>6.05</v>
      </c>
      <c r="N74">
        <v>5.7</v>
      </c>
      <c r="O74">
        <v>6</v>
      </c>
      <c r="Q74" t="s">
        <v>43</v>
      </c>
      <c r="R74">
        <v>5.45</v>
      </c>
      <c r="S74">
        <v>5.85</v>
      </c>
      <c r="T74">
        <f t="shared" si="8"/>
        <v>5.65</v>
      </c>
      <c r="U74">
        <v>6.05</v>
      </c>
      <c r="V74">
        <v>5.75</v>
      </c>
      <c r="W74">
        <v>6.05</v>
      </c>
      <c r="X74">
        <v>5.7</v>
      </c>
      <c r="Y74">
        <v>6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</v>
      </c>
      <c r="AM74">
        <v>6.3</v>
      </c>
      <c r="AN74">
        <v>6.65</v>
      </c>
      <c r="AO74">
        <v>7</v>
      </c>
      <c r="AP74">
        <v>6.75</v>
      </c>
      <c r="AQ74">
        <v>7.1</v>
      </c>
      <c r="AR74">
        <v>6.7</v>
      </c>
      <c r="AS74">
        <v>7.1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6.95</v>
      </c>
      <c r="BG74">
        <v>7.3</v>
      </c>
      <c r="BH74">
        <v>6.9</v>
      </c>
      <c r="BI74">
        <v>7.25</v>
      </c>
      <c r="BJ74">
        <v>6.8</v>
      </c>
      <c r="BK74">
        <v>7.1</v>
      </c>
      <c r="BL74">
        <v>6.7</v>
      </c>
      <c r="BM74">
        <v>6.9</v>
      </c>
    </row>
    <row r="75" spans="7:65" hidden="1" x14ac:dyDescent="0.2">
      <c r="G75" t="s">
        <v>81</v>
      </c>
      <c r="H75">
        <v>5.25</v>
      </c>
      <c r="I75">
        <v>5.7</v>
      </c>
      <c r="J75">
        <v>5.5</v>
      </c>
      <c r="K75">
        <v>5.9</v>
      </c>
      <c r="L75">
        <v>5.6</v>
      </c>
      <c r="M75">
        <v>5.9</v>
      </c>
      <c r="N75">
        <v>5.6</v>
      </c>
      <c r="O75">
        <v>5.9</v>
      </c>
      <c r="Q75" t="s">
        <v>81</v>
      </c>
      <c r="R75">
        <v>5.25</v>
      </c>
      <c r="S75">
        <v>5.7</v>
      </c>
      <c r="T75">
        <v>5.5</v>
      </c>
      <c r="U75">
        <v>5.9</v>
      </c>
      <c r="V75">
        <v>5.6</v>
      </c>
      <c r="W75">
        <v>5.9</v>
      </c>
      <c r="X75">
        <v>5.6</v>
      </c>
      <c r="Y75">
        <v>5.9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5.85</v>
      </c>
      <c r="AM75">
        <v>6.15</v>
      </c>
      <c r="AN75">
        <v>6.45</v>
      </c>
      <c r="AO75">
        <v>6.85</v>
      </c>
      <c r="AP75">
        <v>6.6</v>
      </c>
      <c r="AQ75">
        <v>6.95</v>
      </c>
      <c r="AR75">
        <v>6.6</v>
      </c>
      <c r="AS75">
        <v>6.95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6.8</v>
      </c>
      <c r="BG75">
        <v>7.15</v>
      </c>
      <c r="BH75">
        <v>6.75</v>
      </c>
      <c r="BI75">
        <v>7.1</v>
      </c>
      <c r="BJ75">
        <v>6.7</v>
      </c>
      <c r="BK75">
        <v>7.1</v>
      </c>
      <c r="BL75">
        <v>6.6</v>
      </c>
      <c r="BM75">
        <v>6.9</v>
      </c>
    </row>
    <row r="76" spans="7:65" hidden="1" x14ac:dyDescent="0.2">
      <c r="G76" t="s">
        <v>44</v>
      </c>
      <c r="H76">
        <v>4.95</v>
      </c>
      <c r="I76">
        <v>5.15</v>
      </c>
      <c r="J76">
        <f t="shared" ref="J76" si="9">0.2+H76</f>
        <v>5.15</v>
      </c>
      <c r="K76">
        <v>5.45</v>
      </c>
      <c r="L76">
        <v>5.4</v>
      </c>
      <c r="M76">
        <v>5.7</v>
      </c>
      <c r="N76">
        <v>5.4</v>
      </c>
      <c r="O76">
        <v>5.7</v>
      </c>
      <c r="Q76" t="s">
        <v>44</v>
      </c>
      <c r="R76">
        <v>4.95</v>
      </c>
      <c r="S76">
        <v>5.15</v>
      </c>
      <c r="T76">
        <f t="shared" si="8"/>
        <v>5.15</v>
      </c>
      <c r="U76">
        <v>5.45</v>
      </c>
      <c r="V76">
        <v>5.4</v>
      </c>
      <c r="W76">
        <v>5.7</v>
      </c>
      <c r="X76">
        <v>5.4</v>
      </c>
      <c r="Y76">
        <v>5.7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5.65</v>
      </c>
      <c r="AM76">
        <v>5.95</v>
      </c>
      <c r="AN76">
        <v>6.1</v>
      </c>
      <c r="AO76">
        <v>6.55</v>
      </c>
      <c r="AP76">
        <v>6.25</v>
      </c>
      <c r="AQ76">
        <v>6.65</v>
      </c>
      <c r="AR76">
        <v>6.3</v>
      </c>
      <c r="AS76">
        <v>6.65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6.55</v>
      </c>
      <c r="BG76">
        <v>6.9</v>
      </c>
      <c r="BH76">
        <v>6.55</v>
      </c>
      <c r="BI76">
        <v>6.9</v>
      </c>
      <c r="BJ76">
        <v>6.45</v>
      </c>
      <c r="BK76">
        <v>6.8</v>
      </c>
      <c r="BL76">
        <v>6.4</v>
      </c>
      <c r="BM76">
        <v>6.75</v>
      </c>
    </row>
    <row r="77" spans="7:65" hidden="1" x14ac:dyDescent="0.2">
      <c r="G77" t="s">
        <v>67</v>
      </c>
      <c r="H77">
        <v>4.5999999999999996</v>
      </c>
      <c r="I77">
        <v>4.5999999999999996</v>
      </c>
      <c r="J77">
        <v>4.9000000000000004</v>
      </c>
      <c r="K77">
        <v>5.3</v>
      </c>
      <c r="L77">
        <v>5.0999999999999996</v>
      </c>
      <c r="M77">
        <v>5.2</v>
      </c>
      <c r="N77">
        <v>5.2</v>
      </c>
      <c r="O77">
        <v>5.5</v>
      </c>
      <c r="Q77" t="s">
        <v>67</v>
      </c>
      <c r="R77">
        <v>4.5999999999999996</v>
      </c>
      <c r="S77">
        <v>4.5999999999999996</v>
      </c>
      <c r="T77">
        <v>4.9000000000000004</v>
      </c>
      <c r="U77">
        <v>5.3</v>
      </c>
      <c r="V77">
        <v>5.0999999999999996</v>
      </c>
      <c r="W77">
        <v>5.2</v>
      </c>
      <c r="X77">
        <v>5.2</v>
      </c>
      <c r="Y77">
        <v>5.5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5.4</v>
      </c>
      <c r="AM77">
        <v>5.75</v>
      </c>
      <c r="AN77">
        <v>5.85</v>
      </c>
      <c r="AO77">
        <v>6.3</v>
      </c>
      <c r="AP77">
        <v>6</v>
      </c>
      <c r="AQ77">
        <v>6.4</v>
      </c>
      <c r="AR77">
        <v>6.1</v>
      </c>
      <c r="AS77">
        <v>6.4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6.35</v>
      </c>
      <c r="BG77">
        <v>6.7</v>
      </c>
      <c r="BH77">
        <v>6.3</v>
      </c>
      <c r="BI77">
        <v>6.65</v>
      </c>
      <c r="BJ77">
        <v>6.25</v>
      </c>
      <c r="BK77">
        <v>6.6</v>
      </c>
      <c r="BL77">
        <v>6.2</v>
      </c>
      <c r="BM77">
        <v>6.55</v>
      </c>
    </row>
    <row r="78" spans="7:65" hidden="1" x14ac:dyDescent="0.2">
      <c r="G78" t="s">
        <v>168</v>
      </c>
      <c r="H78">
        <v>5.9</v>
      </c>
      <c r="I78">
        <v>6.1</v>
      </c>
      <c r="J78">
        <v>6.1</v>
      </c>
      <c r="K78">
        <v>6.35</v>
      </c>
      <c r="L78">
        <v>6.3</v>
      </c>
      <c r="M78">
        <v>6.6</v>
      </c>
      <c r="N78">
        <v>6.55</v>
      </c>
      <c r="O78">
        <v>6.8</v>
      </c>
      <c r="Q78" t="s">
        <v>168</v>
      </c>
      <c r="R78">
        <v>5.9</v>
      </c>
      <c r="S78">
        <v>6.1</v>
      </c>
      <c r="T78">
        <v>5.9</v>
      </c>
      <c r="U78">
        <v>6.2</v>
      </c>
      <c r="V78">
        <v>5.9</v>
      </c>
      <c r="W78">
        <v>6.2</v>
      </c>
      <c r="X78">
        <v>5.8</v>
      </c>
      <c r="Y78">
        <v>6.15</v>
      </c>
      <c r="AA78" t="s">
        <v>168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168</v>
      </c>
      <c r="AL78">
        <v>6.15</v>
      </c>
      <c r="AM78">
        <v>6.45</v>
      </c>
      <c r="AN78">
        <v>6.8</v>
      </c>
      <c r="AO78">
        <v>7.2</v>
      </c>
      <c r="AP78">
        <v>6.9</v>
      </c>
      <c r="AQ78">
        <v>7.3</v>
      </c>
      <c r="AR78">
        <v>6.95</v>
      </c>
      <c r="AS78">
        <v>7.25</v>
      </c>
      <c r="AU78" t="s">
        <v>168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8.9499999999999993</v>
      </c>
      <c r="BE78" t="s">
        <v>168</v>
      </c>
      <c r="BF78">
        <v>7.05</v>
      </c>
      <c r="BG78">
        <v>7.45</v>
      </c>
      <c r="BH78">
        <v>7</v>
      </c>
      <c r="BI78">
        <v>7.25</v>
      </c>
      <c r="BJ78">
        <v>6.9</v>
      </c>
      <c r="BK78">
        <v>7.1</v>
      </c>
      <c r="BL78">
        <v>6.85</v>
      </c>
      <c r="BM78">
        <v>6.9</v>
      </c>
    </row>
    <row r="79" spans="7:65" hidden="1" x14ac:dyDescent="0.2">
      <c r="G79" t="s">
        <v>50</v>
      </c>
      <c r="H79">
        <v>5.65</v>
      </c>
      <c r="I79">
        <v>5.9</v>
      </c>
      <c r="J79">
        <f t="shared" ref="J79:J82" si="10">0.2+H79</f>
        <v>5.8500000000000005</v>
      </c>
      <c r="K79">
        <v>6.1</v>
      </c>
      <c r="L79">
        <v>5.75</v>
      </c>
      <c r="M79">
        <v>6.05</v>
      </c>
      <c r="N79">
        <v>5.7</v>
      </c>
      <c r="O79">
        <v>6</v>
      </c>
      <c r="Q79" t="s">
        <v>50</v>
      </c>
      <c r="R79">
        <v>5.65</v>
      </c>
      <c r="S79">
        <v>5.9</v>
      </c>
      <c r="T79">
        <f t="shared" si="8"/>
        <v>5.8500000000000005</v>
      </c>
      <c r="U79">
        <v>6.1</v>
      </c>
      <c r="V79">
        <v>5.75</v>
      </c>
      <c r="W79">
        <v>6.05</v>
      </c>
      <c r="X79">
        <v>5.7</v>
      </c>
      <c r="Y79">
        <v>6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</v>
      </c>
      <c r="AM79">
        <v>6.3</v>
      </c>
      <c r="AN79">
        <v>6.65</v>
      </c>
      <c r="AO79">
        <v>7</v>
      </c>
      <c r="AP79">
        <v>6.75</v>
      </c>
      <c r="AQ79">
        <v>7.1</v>
      </c>
      <c r="AR79">
        <v>6.7</v>
      </c>
      <c r="AS79">
        <v>7.1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6.95</v>
      </c>
      <c r="BG79">
        <v>7.3</v>
      </c>
      <c r="BH79">
        <v>6.9</v>
      </c>
      <c r="BI79">
        <v>7.25</v>
      </c>
      <c r="BJ79">
        <v>6.8</v>
      </c>
      <c r="BK79">
        <v>7.1</v>
      </c>
      <c r="BL79">
        <v>6.7</v>
      </c>
      <c r="BM79">
        <v>6.9</v>
      </c>
    </row>
    <row r="80" spans="7:65" hidden="1" x14ac:dyDescent="0.2">
      <c r="G80" t="s">
        <v>76</v>
      </c>
      <c r="H80">
        <v>5.45</v>
      </c>
      <c r="I80">
        <v>5.65</v>
      </c>
      <c r="J80">
        <f t="shared" si="10"/>
        <v>5.65</v>
      </c>
      <c r="K80">
        <v>5.9</v>
      </c>
      <c r="L80">
        <v>5.6</v>
      </c>
      <c r="M80">
        <v>5.9</v>
      </c>
      <c r="N80">
        <v>5.6</v>
      </c>
      <c r="O80">
        <v>5.9</v>
      </c>
      <c r="Q80" t="s">
        <v>76</v>
      </c>
      <c r="R80">
        <v>5.45</v>
      </c>
      <c r="S80">
        <v>5.65</v>
      </c>
      <c r="T80">
        <f t="shared" si="8"/>
        <v>5.65</v>
      </c>
      <c r="U80">
        <v>5.9</v>
      </c>
      <c r="V80">
        <v>5.6</v>
      </c>
      <c r="W80">
        <v>5.9</v>
      </c>
      <c r="X80">
        <v>5.6</v>
      </c>
      <c r="Y80">
        <v>5.9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5.85</v>
      </c>
      <c r="AM80">
        <v>6.14</v>
      </c>
      <c r="AN80">
        <v>6.5</v>
      </c>
      <c r="AO80">
        <v>6.85</v>
      </c>
      <c r="AP80">
        <v>6.6</v>
      </c>
      <c r="AQ80">
        <v>6.95</v>
      </c>
      <c r="AR80">
        <v>6.6</v>
      </c>
      <c r="AS80">
        <v>6.95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6.8</v>
      </c>
      <c r="BG80">
        <v>7.15</v>
      </c>
      <c r="BH80">
        <v>6.75</v>
      </c>
      <c r="BI80">
        <v>7.1</v>
      </c>
      <c r="BJ80">
        <v>6.7</v>
      </c>
      <c r="BK80">
        <v>7.1</v>
      </c>
      <c r="BL80">
        <v>6.6</v>
      </c>
      <c r="BM80">
        <v>6.9</v>
      </c>
    </row>
    <row r="81" spans="5:65" hidden="1" x14ac:dyDescent="0.2">
      <c r="G81" t="s">
        <v>77</v>
      </c>
      <c r="H81">
        <v>5.3</v>
      </c>
      <c r="I81">
        <v>5.35</v>
      </c>
      <c r="J81">
        <f t="shared" si="10"/>
        <v>5.5</v>
      </c>
      <c r="K81">
        <v>5.65</v>
      </c>
      <c r="L81">
        <v>5.5</v>
      </c>
      <c r="M81">
        <v>5.8</v>
      </c>
      <c r="N81">
        <v>5.5</v>
      </c>
      <c r="O81">
        <v>5.75</v>
      </c>
      <c r="Q81" t="s">
        <v>77</v>
      </c>
      <c r="R81">
        <v>5.3</v>
      </c>
      <c r="S81">
        <v>5.35</v>
      </c>
      <c r="T81">
        <f t="shared" si="8"/>
        <v>5.5</v>
      </c>
      <c r="U81">
        <v>5.65</v>
      </c>
      <c r="V81">
        <v>5.5</v>
      </c>
      <c r="W81">
        <v>5.8</v>
      </c>
      <c r="X81">
        <v>5.5</v>
      </c>
      <c r="Y81">
        <v>5.75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5.75</v>
      </c>
      <c r="AM81">
        <v>6.05</v>
      </c>
      <c r="AN81">
        <v>6.35</v>
      </c>
      <c r="AO81">
        <v>6.7</v>
      </c>
      <c r="AP81">
        <v>6.45</v>
      </c>
      <c r="AQ81">
        <v>6.8</v>
      </c>
      <c r="AR81">
        <v>6.45</v>
      </c>
      <c r="AS81">
        <v>6.8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6.7</v>
      </c>
      <c r="BG81">
        <v>7.05</v>
      </c>
      <c r="BH81">
        <v>6.65</v>
      </c>
      <c r="BI81">
        <v>7</v>
      </c>
      <c r="BJ81">
        <v>6.6</v>
      </c>
      <c r="BK81">
        <v>6.95</v>
      </c>
      <c r="BL81">
        <v>6.55</v>
      </c>
      <c r="BM81">
        <v>6.9</v>
      </c>
    </row>
    <row r="82" spans="5:65" hidden="1" x14ac:dyDescent="0.2">
      <c r="G82" t="s">
        <v>46</v>
      </c>
      <c r="H82">
        <v>5</v>
      </c>
      <c r="I82">
        <v>5</v>
      </c>
      <c r="J82">
        <f t="shared" si="10"/>
        <v>5.2</v>
      </c>
      <c r="K82">
        <v>5.3</v>
      </c>
      <c r="L82">
        <v>5.4</v>
      </c>
      <c r="M82">
        <v>5.65</v>
      </c>
      <c r="N82">
        <v>5.4</v>
      </c>
      <c r="O82">
        <v>5.7</v>
      </c>
      <c r="Q82" t="s">
        <v>46</v>
      </c>
      <c r="R82">
        <v>5</v>
      </c>
      <c r="S82">
        <v>5</v>
      </c>
      <c r="T82">
        <f t="shared" si="8"/>
        <v>5.2</v>
      </c>
      <c r="U82">
        <v>5.3</v>
      </c>
      <c r="V82">
        <v>5.4</v>
      </c>
      <c r="W82">
        <v>5.65</v>
      </c>
      <c r="X82">
        <v>5.4</v>
      </c>
      <c r="Y82">
        <v>5.7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5.65</v>
      </c>
      <c r="AM82">
        <v>5.95</v>
      </c>
      <c r="AN82">
        <v>6.2</v>
      </c>
      <c r="AO82">
        <v>6.55</v>
      </c>
      <c r="AP82">
        <v>6.3</v>
      </c>
      <c r="AQ82">
        <v>6.65</v>
      </c>
      <c r="AR82">
        <v>6.3</v>
      </c>
      <c r="AS82">
        <v>6.65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6.55</v>
      </c>
      <c r="BG82">
        <v>6.9</v>
      </c>
      <c r="BH82">
        <v>6.55</v>
      </c>
      <c r="BI82">
        <v>6.9</v>
      </c>
      <c r="BJ82">
        <v>6.5</v>
      </c>
      <c r="BK82">
        <v>6.85</v>
      </c>
      <c r="BL82">
        <v>6.45</v>
      </c>
      <c r="BM82">
        <v>6</v>
      </c>
    </row>
    <row r="83" spans="5:65" hidden="1" x14ac:dyDescent="0.2">
      <c r="G83" t="s">
        <v>82</v>
      </c>
      <c r="H83">
        <v>4.75</v>
      </c>
      <c r="I83">
        <v>4.75</v>
      </c>
      <c r="J83">
        <v>5.05</v>
      </c>
      <c r="K83">
        <v>5.05</v>
      </c>
      <c r="L83">
        <v>5.6</v>
      </c>
      <c r="M83">
        <v>5.35</v>
      </c>
      <c r="N83">
        <v>5.3</v>
      </c>
      <c r="O83">
        <v>5.6</v>
      </c>
      <c r="Q83" t="s">
        <v>82</v>
      </c>
      <c r="R83">
        <v>4.75</v>
      </c>
      <c r="S83">
        <v>4.75</v>
      </c>
      <c r="T83">
        <v>5.05</v>
      </c>
      <c r="U83">
        <v>5.05</v>
      </c>
      <c r="V83">
        <v>5.6</v>
      </c>
      <c r="W83">
        <v>5.35</v>
      </c>
      <c r="X83">
        <v>5.3</v>
      </c>
      <c r="Y83">
        <v>5.6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5.55</v>
      </c>
      <c r="AM83">
        <v>5.84</v>
      </c>
      <c r="AN83">
        <v>6.1</v>
      </c>
      <c r="AO83">
        <v>6.4</v>
      </c>
      <c r="AP83">
        <v>6.2</v>
      </c>
      <c r="AQ83">
        <v>6.5</v>
      </c>
      <c r="AR83">
        <v>6.2</v>
      </c>
      <c r="AS83">
        <v>6.55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6.45</v>
      </c>
      <c r="BG83">
        <v>6.8</v>
      </c>
      <c r="BH83">
        <v>6.4</v>
      </c>
      <c r="BI83">
        <v>6.8</v>
      </c>
      <c r="BJ83">
        <v>6.4</v>
      </c>
      <c r="BK83">
        <v>6.75</v>
      </c>
      <c r="BL83">
        <v>6.35</v>
      </c>
      <c r="BM83">
        <v>6.7</v>
      </c>
    </row>
    <row r="84" spans="5:65" hidden="1" x14ac:dyDescent="0.2">
      <c r="G84" t="s">
        <v>45</v>
      </c>
      <c r="H84">
        <v>4.3</v>
      </c>
      <c r="I84">
        <v>4.3</v>
      </c>
      <c r="J84">
        <v>4.5999999999999996</v>
      </c>
      <c r="K84">
        <v>4.5999999999999996</v>
      </c>
      <c r="L84">
        <v>4.9000000000000004</v>
      </c>
      <c r="M84">
        <v>4.9000000000000004</v>
      </c>
      <c r="N84">
        <v>5.0999999999999996</v>
      </c>
      <c r="O84">
        <v>5.15</v>
      </c>
      <c r="Q84" t="s">
        <v>45</v>
      </c>
      <c r="R84">
        <v>4.3</v>
      </c>
      <c r="S84">
        <v>4.3</v>
      </c>
      <c r="T84">
        <v>4.5999999999999996</v>
      </c>
      <c r="U84">
        <v>4.5999999999999996</v>
      </c>
      <c r="V84">
        <v>4.9000000000000004</v>
      </c>
      <c r="W84">
        <v>4.9000000000000004</v>
      </c>
      <c r="X84">
        <v>5.0999999999999996</v>
      </c>
      <c r="Y84">
        <v>5.15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5.35</v>
      </c>
      <c r="AM84">
        <v>5.35</v>
      </c>
      <c r="AN84">
        <v>5.85</v>
      </c>
      <c r="AO84">
        <v>6.15</v>
      </c>
      <c r="AP84">
        <v>5.95</v>
      </c>
      <c r="AQ84">
        <v>6.3</v>
      </c>
      <c r="AR84">
        <v>6</v>
      </c>
      <c r="AS84">
        <v>6.3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6.25</v>
      </c>
      <c r="BG84">
        <v>6.6</v>
      </c>
      <c r="BH84">
        <v>6.25</v>
      </c>
      <c r="BI84">
        <v>6.6</v>
      </c>
      <c r="BJ84">
        <v>6.2</v>
      </c>
      <c r="BK84">
        <v>6.55</v>
      </c>
      <c r="BL84">
        <v>6.2</v>
      </c>
      <c r="BM84">
        <v>6.5</v>
      </c>
    </row>
    <row r="85" spans="5:65" hidden="1" x14ac:dyDescent="0.2">
      <c r="G85" t="s">
        <v>68</v>
      </c>
      <c r="H85">
        <v>3.95</v>
      </c>
      <c r="I85">
        <v>3.95</v>
      </c>
      <c r="J85">
        <v>4.2</v>
      </c>
      <c r="K85">
        <v>4.2</v>
      </c>
      <c r="L85">
        <v>4.5</v>
      </c>
      <c r="M85">
        <v>4.45</v>
      </c>
      <c r="N85">
        <v>4.75</v>
      </c>
      <c r="O85">
        <v>4.7</v>
      </c>
      <c r="Q85" t="s">
        <v>68</v>
      </c>
      <c r="R85">
        <v>3.95</v>
      </c>
      <c r="S85">
        <v>3.95</v>
      </c>
      <c r="T85">
        <v>4.2</v>
      </c>
      <c r="U85">
        <v>4.2</v>
      </c>
      <c r="V85">
        <v>4.5</v>
      </c>
      <c r="W85">
        <v>4.45</v>
      </c>
      <c r="X85">
        <v>4.75</v>
      </c>
      <c r="Y85">
        <v>4.7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4.9000000000000004</v>
      </c>
      <c r="AM85">
        <v>4.9000000000000004</v>
      </c>
      <c r="AN85">
        <v>5.6</v>
      </c>
      <c r="AO85">
        <v>5.95</v>
      </c>
      <c r="AP85">
        <v>5.75</v>
      </c>
      <c r="AQ85">
        <v>6.05</v>
      </c>
      <c r="AR85">
        <v>5.8</v>
      </c>
      <c r="AS85">
        <v>6.1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6.05</v>
      </c>
      <c r="BG85">
        <v>6.4</v>
      </c>
      <c r="BH85">
        <v>6.05</v>
      </c>
      <c r="BI85">
        <v>6.4</v>
      </c>
      <c r="BJ85">
        <v>6.1</v>
      </c>
      <c r="BK85">
        <v>6.4</v>
      </c>
      <c r="BL85">
        <v>6.05</v>
      </c>
      <c r="BM85">
        <v>6.35</v>
      </c>
    </row>
    <row r="86" spans="5:65" hidden="1" x14ac:dyDescent="0.2">
      <c r="G86" t="s">
        <v>71</v>
      </c>
      <c r="H86" s="142">
        <v>179</v>
      </c>
      <c r="I86" s="142"/>
      <c r="J86" s="142">
        <v>229</v>
      </c>
      <c r="K86" s="142"/>
      <c r="L86" s="142">
        <v>252</v>
      </c>
      <c r="M86" s="142"/>
      <c r="N86" s="142">
        <v>275</v>
      </c>
      <c r="O86" s="142"/>
      <c r="R86" s="142">
        <v>179</v>
      </c>
      <c r="S86" s="142"/>
      <c r="T86" s="142">
        <v>229</v>
      </c>
      <c r="U86" s="142"/>
      <c r="V86" s="142">
        <v>252</v>
      </c>
      <c r="W86" s="142"/>
      <c r="X86" s="142">
        <v>275</v>
      </c>
      <c r="Y86" s="142"/>
      <c r="AB86" s="142">
        <v>253</v>
      </c>
      <c r="AC86" s="142"/>
      <c r="AD86" s="142">
        <v>273</v>
      </c>
      <c r="AE86" s="142"/>
      <c r="AF86" s="142">
        <v>296</v>
      </c>
      <c r="AG86" s="142"/>
      <c r="AH86" s="142">
        <v>319</v>
      </c>
      <c r="AI86" s="142"/>
      <c r="AL86" s="142">
        <v>232</v>
      </c>
      <c r="AM86" s="142"/>
      <c r="AN86" s="142">
        <v>273</v>
      </c>
      <c r="AO86" s="142"/>
      <c r="AP86" s="142">
        <v>296</v>
      </c>
      <c r="AQ86" s="142"/>
      <c r="AR86" s="142">
        <v>319</v>
      </c>
      <c r="AS86" s="142"/>
      <c r="AV86" s="142">
        <v>322</v>
      </c>
      <c r="AW86" s="142"/>
      <c r="AX86" s="142">
        <v>345</v>
      </c>
      <c r="AY86" s="142"/>
      <c r="AZ86" s="142">
        <v>368</v>
      </c>
      <c r="BA86" s="142"/>
      <c r="BB86" s="142">
        <v>391</v>
      </c>
      <c r="BC86" s="142"/>
      <c r="BF86" s="142">
        <v>322</v>
      </c>
      <c r="BG86" s="142"/>
      <c r="BH86" s="142">
        <v>345</v>
      </c>
      <c r="BI86" s="142"/>
      <c r="BJ86" s="142">
        <v>368</v>
      </c>
      <c r="BK86" s="142"/>
      <c r="BL86" s="142">
        <v>391</v>
      </c>
      <c r="BM86" s="142"/>
    </row>
    <row r="87" spans="5:65" hidden="1" x14ac:dyDescent="0.2">
      <c r="G87" t="s">
        <v>72</v>
      </c>
      <c r="H87" s="142">
        <v>61</v>
      </c>
      <c r="I87" s="142"/>
      <c r="J87" s="142">
        <v>72.5</v>
      </c>
      <c r="K87" s="142"/>
      <c r="L87" s="142">
        <v>82.5</v>
      </c>
      <c r="M87" s="142"/>
      <c r="N87" s="142">
        <v>92.5</v>
      </c>
      <c r="O87" s="142"/>
      <c r="R87" s="142">
        <v>61</v>
      </c>
      <c r="S87" s="142"/>
      <c r="T87" s="142">
        <v>72.5</v>
      </c>
      <c r="U87" s="142"/>
      <c r="V87" s="142">
        <v>82.5</v>
      </c>
      <c r="W87" s="142"/>
      <c r="X87" s="142">
        <v>92.5</v>
      </c>
      <c r="Y87" s="142"/>
      <c r="AB87" s="142">
        <v>76</v>
      </c>
      <c r="AC87" s="142"/>
      <c r="AD87" s="142">
        <v>78.5</v>
      </c>
      <c r="AE87" s="142"/>
      <c r="AF87" s="142">
        <v>86</v>
      </c>
      <c r="AG87" s="142"/>
      <c r="AH87" s="142">
        <v>96</v>
      </c>
      <c r="AI87" s="142"/>
      <c r="AL87" s="142">
        <v>74</v>
      </c>
      <c r="AM87" s="142"/>
      <c r="AN87" s="142">
        <v>78.5</v>
      </c>
      <c r="AO87" s="142"/>
      <c r="AP87" s="142">
        <v>86</v>
      </c>
      <c r="AQ87" s="142"/>
      <c r="AR87" s="142">
        <v>96</v>
      </c>
      <c r="AS87" s="142"/>
      <c r="AV87" s="142">
        <v>93</v>
      </c>
      <c r="AW87" s="142"/>
      <c r="AX87" s="142">
        <v>103</v>
      </c>
      <c r="AY87" s="142"/>
      <c r="AZ87" s="142">
        <v>113</v>
      </c>
      <c r="BA87" s="142"/>
      <c r="BB87" s="142">
        <v>123</v>
      </c>
      <c r="BC87" s="142"/>
      <c r="BF87" s="142">
        <v>93</v>
      </c>
      <c r="BG87" s="142"/>
      <c r="BH87" s="142">
        <v>103</v>
      </c>
      <c r="BI87" s="142"/>
      <c r="BJ87" s="142">
        <v>113</v>
      </c>
      <c r="BK87" s="142"/>
      <c r="BL87" s="142">
        <v>123</v>
      </c>
      <c r="BM87" s="142"/>
    </row>
    <row r="88" spans="5:6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5.7</v>
      </c>
      <c r="I88" s="113">
        <f>+VLOOKUP($G$88,$G$62:$O$85,3,FALSE)</f>
        <v>6.3</v>
      </c>
      <c r="J88" s="113">
        <f>+VLOOKUP($G$88,$G$62:$O$85,4,FALSE)</f>
        <v>5.9</v>
      </c>
      <c r="K88" s="113">
        <f>+VLOOKUP($G$88,$G$62:$O$85,5,FALSE)</f>
        <v>6.4</v>
      </c>
      <c r="L88" s="113">
        <f>+VLOOKUP($G$88,$G$62:$O$85,6,FALSE)</f>
        <v>6</v>
      </c>
      <c r="M88" s="113">
        <f>+VLOOKUP($G$88,$G$62:$O$85,7,FALSE)</f>
        <v>6.35</v>
      </c>
      <c r="N88" s="113">
        <f>+VLOOKUP($G$88,$G$62:$O$85,8,FALSE)</f>
        <v>5.9</v>
      </c>
      <c r="O88" s="113">
        <f>+VLOOKUP($G$88,$G$62:$O$85,9,FALSE)</f>
        <v>6.25</v>
      </c>
      <c r="Q88" t="str">
        <f>+DIM!$AK$20&amp;"+"&amp;DIM!$S$14</f>
        <v>251+150</v>
      </c>
      <c r="R88" s="113">
        <f>+VLOOKUP($Q$88,$Q$62:$Y$85,2,FALSE)</f>
        <v>5.7</v>
      </c>
      <c r="S88" s="113">
        <f>+VLOOKUP($Q$88,$Q$62:$Y$85,3,FALSE)</f>
        <v>6.3</v>
      </c>
      <c r="T88" s="113">
        <f>+VLOOKUP($Q$88,$Q$62:$Y$85,4,FALSE)</f>
        <v>5.9</v>
      </c>
      <c r="U88" s="113">
        <f>+VLOOKUP($Q$88,$Q$62:$Y$85,5,FALSE)</f>
        <v>6.4</v>
      </c>
      <c r="V88" s="113">
        <f>+VLOOKUP($Q$88,$Q$62:$Y$85,6,FALSE)</f>
        <v>6</v>
      </c>
      <c r="W88" s="113">
        <f>+VLOOKUP($Q$88,$Q$62:$Y$85,7,FALSE)</f>
        <v>6.35</v>
      </c>
      <c r="X88" s="113">
        <f>+VLOOKUP($Q$88,$Q$62:$Y$85,8,FALSE)</f>
        <v>5.9</v>
      </c>
      <c r="Y88" s="113">
        <f>+VLOOKUP($Q$88,$Q$62:$Y$85,9,FALSE)</f>
        <v>6.25</v>
      </c>
      <c r="AA88" t="str">
        <f>+DIM!$AK$20&amp;"+"&amp;DIM!$S$14</f>
        <v>251+150</v>
      </c>
      <c r="AB88" s="113">
        <f>+VLOOKUP($AA$88,$AA$62:$AI$87,2,FALSE)</f>
        <v>6.55</v>
      </c>
      <c r="AC88" s="113">
        <f>+VLOOKUP($AA$88,$AA$62:$AI$87,3,FALSE)</f>
        <v>7.2</v>
      </c>
      <c r="AD88" s="113">
        <f>+VLOOKUP($AA$88,$AA$62:$AI$87,4,FALSE)</f>
        <v>7</v>
      </c>
      <c r="AE88" s="113">
        <f>+VLOOKUP($AA$88,$AA$62:$AI$87,5,FALSE)</f>
        <v>7.7</v>
      </c>
      <c r="AF88" s="113">
        <f>+VLOOKUP($AA$88,$AA$62:$AI$87,6,FALSE)</f>
        <v>7.1</v>
      </c>
      <c r="AG88" s="113">
        <f>+VLOOKUP($AA$88,$AA$62:$AI$87,7,FALSE)</f>
        <v>7.85</v>
      </c>
      <c r="AH88" s="113">
        <f>+VLOOKUP($AA$88,$AA$62:$AI$87,8,FALSE)</f>
        <v>7.3</v>
      </c>
      <c r="AI88" s="113">
        <f>+VLOOKUP($AA$88,$AA$62:$AI$87,9,FALSE)</f>
        <v>8.0500000000000007</v>
      </c>
      <c r="AK88" t="str">
        <f>+DIM!$AK$20&amp;"+"&amp;DIM!$S$14</f>
        <v>251+150</v>
      </c>
      <c r="AL88" s="113">
        <f>+VLOOKUP($AK$88,$AK$62:$AS$87,2,FALSE)</f>
        <v>6.6</v>
      </c>
      <c r="AM88" s="113">
        <f>+VLOOKUP($AK$88,$AK$62:$AS$87,3,FALSE)</f>
        <v>6.6</v>
      </c>
      <c r="AN88" s="113">
        <f>+VLOOKUP($AK$88,$AK$62:$AS$87,4,FALSE)</f>
        <v>7</v>
      </c>
      <c r="AO88" s="113">
        <f>+VLOOKUP($AK$88,$AK$62:$AS$87,5,FALSE)</f>
        <v>7.35</v>
      </c>
      <c r="AP88" s="113">
        <f>+VLOOKUP($AK$88,$AK$62:$AS$87,6,FALSE)</f>
        <v>7.05</v>
      </c>
      <c r="AQ88" s="113">
        <f>+VLOOKUP($AK$88,$AK$62:$AS$87,7,FALSE)</f>
        <v>7.45</v>
      </c>
      <c r="AR88" s="113">
        <f>+VLOOKUP($AK$88,$AK$62:$AS$87,8,FALSE)</f>
        <v>7</v>
      </c>
      <c r="AS88" s="113">
        <f>+VLOOKUP($AK$88,$AK$62:$AS$87,9,FALSE)</f>
        <v>7.35</v>
      </c>
      <c r="AU88" t="str">
        <f>+DIM!$AK$20&amp;"+"&amp;DIM!$S$14</f>
        <v>251+150</v>
      </c>
      <c r="AV88" s="113">
        <f>+VLOOKUP($AU$42,$AU$62:$BC$86,2,FALSE)</f>
        <v>7.8</v>
      </c>
      <c r="AW88" s="113">
        <f>+VLOOKUP($AU$42,$AU$62:$BC$86,3,FALSE)</f>
        <v>8.5500000000000007</v>
      </c>
      <c r="AX88" s="113">
        <f>+VLOOKUP($AU$42,$AU$62:$BC$86,4,FALSE)</f>
        <v>8</v>
      </c>
      <c r="AY88" s="113">
        <f>+VLOOKUP($AU$42,$AU$62:$BC$86,5,FALSE)</f>
        <v>8.8000000000000007</v>
      </c>
      <c r="AZ88" s="113">
        <f>+VLOOKUP($AU$42,$AU$62:$BC$86,6,FALSE)</f>
        <v>8.1999999999999993</v>
      </c>
      <c r="BA88" s="113">
        <f>+VLOOKUP($AU$42,$AU$62:$BC$86,7,FALSE)</f>
        <v>9</v>
      </c>
      <c r="BB88" s="113">
        <f>+VLOOKUP($AU$42,$AU$62:$BC$86,8,FALSE)</f>
        <v>8.4</v>
      </c>
      <c r="BC88" s="113">
        <f>+VLOOKUP($AU$42,$AU$62:$BC$86,9,FALSE)</f>
        <v>9</v>
      </c>
      <c r="BE88" t="str">
        <f>+DIM!$AK$20&amp;"+"&amp;DIM!$S$14</f>
        <v>251+150</v>
      </c>
      <c r="BF88" s="113">
        <f>+VLOOKUP($BE$88,$BE$62:$BM$85,2,FALSE)</f>
        <v>7.15</v>
      </c>
      <c r="BG88" s="113">
        <f>+VLOOKUP($BE$88,$BE$62:$BM$85,3,FALSE)</f>
        <v>7.45</v>
      </c>
      <c r="BH88" s="113">
        <f>+VLOOKUP($BE$88,$BE$62:$BM$85,4,FALSE)</f>
        <v>7</v>
      </c>
      <c r="BI88" s="113">
        <f>+VLOOKUP($BE$88,$BE$62:$BM$85,5,FALSE)</f>
        <v>7.25</v>
      </c>
      <c r="BJ88" s="113">
        <f>+VLOOKUP($BE$88,$BE$62:$BM$85,6,FALSE)</f>
        <v>6.9</v>
      </c>
      <c r="BK88" s="113">
        <f>+VLOOKUP($BE$88,$BE$62:$BM$85,7,FALSE)</f>
        <v>7.1</v>
      </c>
      <c r="BL88" s="113">
        <f>+VLOOKUP($BE$88,$BE$62:$BM$85,8,FALSE)</f>
        <v>6.8</v>
      </c>
      <c r="BM88" s="113">
        <f>+VLOOKUP($BE$88,$BE$62:$BM$85,9,FALSE)</f>
        <v>6.9</v>
      </c>
    </row>
    <row r="89" spans="5:65" hidden="1" x14ac:dyDescent="0.2">
      <c r="F89" t="s">
        <v>47</v>
      </c>
      <c r="G89">
        <f>+DIM!AD61</f>
        <v>0</v>
      </c>
      <c r="H89" s="141">
        <f>+IF(DIM!$AD$15=ebsvs!$H$15,ebsvs!H88,ebsvs!I88)</f>
        <v>5.7</v>
      </c>
      <c r="I89" s="141"/>
      <c r="J89" s="141">
        <f>+IF(DIM!$AD$15=ebsvs!$H$15,ebsvs!J88,ebsvs!K88)</f>
        <v>5.9</v>
      </c>
      <c r="K89" s="141"/>
      <c r="L89" s="141">
        <f>+IF(DIM!$AD$15=ebsvs!$H$15,ebsvs!L88,ebsvs!M88)</f>
        <v>6</v>
      </c>
      <c r="M89" s="141"/>
      <c r="N89" s="141">
        <f>+IF(DIM!$AD$15=ebsvs!$H$15,ebsvs!N88,ebsvs!O88)</f>
        <v>5.9</v>
      </c>
      <c r="O89" s="141"/>
      <c r="Q89" t="str">
        <f>+DIM!AD15</f>
        <v>AL</v>
      </c>
      <c r="R89" s="143">
        <f>+IF(DIM!$AD$15=ebsvs!$H$15,ebsvs!R88,ebsvs!S88)</f>
        <v>5.7</v>
      </c>
      <c r="S89" s="144"/>
      <c r="T89" s="143">
        <f>+IF(DIM!$AD$15=ebsvs!$H$15,ebsvs!T88,ebsvs!U88)</f>
        <v>5.9</v>
      </c>
      <c r="U89" s="144"/>
      <c r="V89" s="143">
        <f>+IF(DIM!$AD$15=ebsvs!$H$15,ebsvs!V88,ebsvs!W88)</f>
        <v>6</v>
      </c>
      <c r="W89" s="144"/>
      <c r="X89" s="143">
        <f>+IF(DIM!$AD$15=ebsvs!$H$15,ebsvs!X88,ebsvs!Y88)</f>
        <v>5.9</v>
      </c>
      <c r="Y89" s="144"/>
      <c r="AA89" t="str">
        <f>+DIM!AD15</f>
        <v>AL</v>
      </c>
      <c r="AB89" s="143">
        <f>+IF(DIM!$AD$15=ebsvs!$H$15,ebsvs!AB88,ebsvs!AC88)</f>
        <v>6.55</v>
      </c>
      <c r="AC89" s="144"/>
      <c r="AD89" s="143">
        <f>+IF(DIM!$AD$15=ebsvs!$H$15,ebsvs!AD88,ebsvs!AE88)</f>
        <v>7</v>
      </c>
      <c r="AE89" s="144"/>
      <c r="AF89" s="143">
        <f>+IF(DIM!$AD$15=ebsvs!$H$15,ebsvs!AF88,ebsvs!AG88)</f>
        <v>7.1</v>
      </c>
      <c r="AG89" s="144"/>
      <c r="AH89" s="143">
        <f>+IF(DIM!$AD$15=ebsvs!$H$15,ebsvs!AH88,ebsvs!AI88)</f>
        <v>7.3</v>
      </c>
      <c r="AI89" s="144"/>
      <c r="AK89" t="str">
        <f>+DIM!AD15</f>
        <v>AL</v>
      </c>
      <c r="AL89" s="143">
        <f>+IF(DIM!$AD$15=$AL$61,ebsvs!AL88,ebsvs!AM88)</f>
        <v>6.6</v>
      </c>
      <c r="AM89" s="144"/>
      <c r="AN89" s="143">
        <f>+IF(DIM!$AD$15=$AL$61,ebsvs!AN88,ebsvs!AO88)</f>
        <v>7</v>
      </c>
      <c r="AO89" s="144"/>
      <c r="AP89" s="143">
        <f>+IF(DIM!$AD$15=$AL$61,ebsvs!AP88,ebsvs!AQ88)</f>
        <v>7.05</v>
      </c>
      <c r="AQ89" s="144"/>
      <c r="AR89" s="143">
        <f>+IF(DIM!$AD$15=$AL$61,ebsvs!AR88,ebsvs!AS88)</f>
        <v>7</v>
      </c>
      <c r="AS89" s="144"/>
      <c r="AU89" t="str">
        <f>+AK89</f>
        <v>AL</v>
      </c>
      <c r="AV89" s="143">
        <f>+IF(DIM!$AD$15=ebsvs!$H$15,ebsvs!AV88,ebsvs!AW88)</f>
        <v>7.8</v>
      </c>
      <c r="AW89" s="144"/>
      <c r="AX89" s="143">
        <f>+IF(DIM!$AD$15=ebsvs!$H$15,ebsvs!AX88,ebsvs!AY88)</f>
        <v>8</v>
      </c>
      <c r="AY89" s="144"/>
      <c r="AZ89" s="143">
        <f>+IF(DIM!$AD$15=ebsvs!$H$15,ebsvs!AZ88,ebsvs!BA88)</f>
        <v>8.1999999999999993</v>
      </c>
      <c r="BA89" s="144"/>
      <c r="BB89" s="143">
        <f>+IF(DIM!$AD$15=ebsvs!$H$15,ebsvs!BB88,ebsvs!BC88)</f>
        <v>8.4</v>
      </c>
      <c r="BC89" s="144"/>
      <c r="BE89" t="str">
        <f>+AU89</f>
        <v>AL</v>
      </c>
      <c r="BF89" s="143">
        <f>+IF(DIM!$AD$15=ebsvs!$H$15,ebsvs!BF88,ebsvs!BG88)</f>
        <v>7.15</v>
      </c>
      <c r="BG89" s="144"/>
      <c r="BH89" s="143">
        <f>+IF(DIM!$AD$15=ebsvs!$H$15,ebsvs!BH88,ebsvs!BI88)</f>
        <v>7</v>
      </c>
      <c r="BI89" s="144"/>
      <c r="BJ89" s="143">
        <f>+IF(DIM!$AD$15=ebsvs!$H$15,ebsvs!BJ88,ebsvs!BK88)</f>
        <v>6.9</v>
      </c>
      <c r="BK89" s="144"/>
      <c r="BL89" s="143">
        <f>+IF(DIM!$AD$15=ebsvs!$H$15,ebsvs!BL88,ebsvs!BM88)</f>
        <v>6.8</v>
      </c>
      <c r="BM89" s="144"/>
    </row>
    <row r="90" spans="5:65" hidden="1" x14ac:dyDescent="0.2">
      <c r="F90" t="s">
        <v>48</v>
      </c>
      <c r="G90" s="113">
        <f>+DIM!S31</f>
        <v>5</v>
      </c>
      <c r="K90" s="115">
        <f>+HLOOKUP(G90,H60:O89,30,FALSE)</f>
        <v>5.7</v>
      </c>
      <c r="Q90" s="113">
        <f>+DIM!S31</f>
        <v>5</v>
      </c>
      <c r="U90" s="115">
        <f>+HLOOKUP(Q90,R60:Y89,30,FALSE)</f>
        <v>5.7</v>
      </c>
      <c r="AA90" s="113">
        <f>+DIM!S31</f>
        <v>5</v>
      </c>
      <c r="AE90" s="115">
        <f>+HLOOKUP(AA90,AB60:AI89,30,FALSE)</f>
        <v>6.55</v>
      </c>
      <c r="AK90" s="113">
        <f>+DIM!S31</f>
        <v>5</v>
      </c>
      <c r="AO90" s="115">
        <f>+HLOOKUP(AK90,AL60:AS89,30,FALSE)</f>
        <v>6.6</v>
      </c>
      <c r="AU90" s="113">
        <f>+AK90</f>
        <v>5</v>
      </c>
      <c r="AY90" s="115">
        <f>+HLOOKUP(AU90,AV60:BC89,30,FALSE)</f>
        <v>7.8</v>
      </c>
      <c r="BE90" s="114">
        <f>+AU90</f>
        <v>5</v>
      </c>
      <c r="BI90" s="115">
        <f>+HLOOKUP(BE90,BF60:BM89,30,FALSE)</f>
        <v>7.15</v>
      </c>
    </row>
    <row r="91" spans="5:65" hidden="1" x14ac:dyDescent="0.2">
      <c r="E91">
        <f>+DIM!Q31</f>
        <v>12</v>
      </c>
      <c r="F91" t="s">
        <v>65</v>
      </c>
      <c r="K91" s="116" t="str">
        <f>+K56&amp;"+"&amp;G90&amp;" "&amp;L56</f>
        <v>12+5 JUM</v>
      </c>
      <c r="U91" s="116" t="str">
        <f>+U56&amp;"+"&amp;Q90&amp;" "&amp;V56</f>
        <v>12+5 JUM</v>
      </c>
      <c r="AE91" s="116" t="str">
        <f>+AE56&amp;"+"&amp;AA90&amp;" "&amp;AF56</f>
        <v>15+5 JUM</v>
      </c>
      <c r="AO91" s="116" t="str">
        <f>+AO56&amp;"+"&amp;AK90&amp;" "&amp;AP56</f>
        <v>15+5 JUM</v>
      </c>
      <c r="AY91" s="116" t="str">
        <f>+AY56&amp;"+"&amp;AU90&amp;" "&amp;AZ56</f>
        <v>20+5 JUM</v>
      </c>
      <c r="BI91" s="116" t="str">
        <f>+BI56&amp;"+"&amp;BE90&amp;" "&amp;BJ56</f>
        <v>20+5 JUM</v>
      </c>
    </row>
    <row r="92" spans="5:65" hidden="1" x14ac:dyDescent="0.2">
      <c r="F92" t="s">
        <v>66</v>
      </c>
      <c r="G92">
        <f>+DIM!S65</f>
        <v>0</v>
      </c>
      <c r="K92" s="111">
        <f>+HLOOKUP(G90,H60:O86,27,FALSE)</f>
        <v>179</v>
      </c>
      <c r="U92" s="111">
        <f>+HLOOKUP(Q90,R60:Y86,27,FALSE)</f>
        <v>179</v>
      </c>
      <c r="AE92" s="111">
        <f>+HLOOKUP(AA90,AB60:AI86,27,FALSE)</f>
        <v>253</v>
      </c>
      <c r="AO92" s="111">
        <f>+HLOOKUP(AK90,AL60:AS86,27,FALSE)</f>
        <v>232</v>
      </c>
      <c r="AY92" s="111">
        <f>+HLOOKUP(AU90,AV60:BC86,27,FALSE)</f>
        <v>322</v>
      </c>
      <c r="BI92" s="111">
        <f>+HLOOKUP(BE90,BF60:BM86,27,FALSE)</f>
        <v>322</v>
      </c>
    </row>
    <row r="93" spans="5:65" hidden="1" x14ac:dyDescent="0.2">
      <c r="F93">
        <v>12</v>
      </c>
      <c r="G93">
        <f>+IF($G$46="avec etai",K90,U90)</f>
        <v>5.7</v>
      </c>
      <c r="H93">
        <f>+IF($G$46="avec etai",K92,U92)</f>
        <v>179</v>
      </c>
      <c r="I93">
        <f>+IF($G$46="avec etai",K93,U93)</f>
        <v>61</v>
      </c>
      <c r="K93" s="111">
        <f>+HLOOKUP(G90,H60:O87,28,FALSE)</f>
        <v>61</v>
      </c>
      <c r="U93" s="111">
        <f>+HLOOKUP(Q90,R60:Y87,28,FALSE)</f>
        <v>61</v>
      </c>
      <c r="AE93" s="111">
        <f>+HLOOKUP(AA90,AB60:AI87,28,FALSE)</f>
        <v>76</v>
      </c>
      <c r="AO93" s="111">
        <f>+HLOOKUP(AK90,AL60:AS87,28,FALSE)</f>
        <v>74</v>
      </c>
      <c r="AY93" s="111">
        <f>+HLOOKUP(AU90,AV60:BC87,28,FALSE)</f>
        <v>93</v>
      </c>
      <c r="BI93" s="111">
        <f>+HLOOKUP(BE90,BF60:BM87,28,FALSE)</f>
        <v>93</v>
      </c>
    </row>
    <row r="94" spans="5:65" hidden="1" x14ac:dyDescent="0.2">
      <c r="F94">
        <v>15</v>
      </c>
      <c r="G94">
        <f>+IF($G$46="avec etai",AE90,AO90)</f>
        <v>6.55</v>
      </c>
      <c r="H94">
        <f>+IF($G$46="avec etai",AE92,AO92)</f>
        <v>253</v>
      </c>
      <c r="I94">
        <f>+IF($G$46="avec etai",AE93,AO93)</f>
        <v>76</v>
      </c>
    </row>
    <row r="95" spans="5:65" ht="19.5" hidden="1" x14ac:dyDescent="0.35">
      <c r="F95">
        <v>20</v>
      </c>
      <c r="G95">
        <f>+IF($G$46="avec etai",AY90,BI90)</f>
        <v>7.8</v>
      </c>
      <c r="H95">
        <f>+IF($G$46="avec etaii",AY92,BI92)</f>
        <v>322</v>
      </c>
      <c r="I95">
        <f>+IF($G$46="avec etai",AY93,BI93)</f>
        <v>93</v>
      </c>
      <c r="K95" s="110">
        <v>12</v>
      </c>
      <c r="L95" s="110" t="s">
        <v>87</v>
      </c>
      <c r="Q95" s="113">
        <v>6.3</v>
      </c>
      <c r="U95" s="110">
        <v>12</v>
      </c>
      <c r="V95" s="110" t="s">
        <v>87</v>
      </c>
      <c r="AE95" s="110">
        <v>15</v>
      </c>
      <c r="AF95" s="110" t="s">
        <v>87</v>
      </c>
      <c r="AO95" s="110">
        <v>15</v>
      </c>
      <c r="AP95" s="110" t="s">
        <v>87</v>
      </c>
      <c r="AY95" s="110">
        <v>20</v>
      </c>
      <c r="AZ95" s="110" t="s">
        <v>87</v>
      </c>
      <c r="BI95" s="110">
        <v>20</v>
      </c>
      <c r="BJ95" s="110" t="s">
        <v>87</v>
      </c>
    </row>
    <row r="96" spans="5:65" hidden="1" x14ac:dyDescent="0.2">
      <c r="E96" t="s">
        <v>70</v>
      </c>
      <c r="F96" t="s">
        <v>74</v>
      </c>
      <c r="G96">
        <f>IF($E$91&gt;20,"--",+VLOOKUP(DIM!Q31,ebsvs!F93:I95,2,FALSE))</f>
        <v>5.7</v>
      </c>
      <c r="K96" s="111" t="s">
        <v>78</v>
      </c>
      <c r="U96" s="111" t="s">
        <v>83</v>
      </c>
      <c r="AE96" s="111" t="s">
        <v>84</v>
      </c>
      <c r="AO96" s="111" t="s">
        <v>79</v>
      </c>
      <c r="AY96" s="111" t="s">
        <v>84</v>
      </c>
      <c r="BI96" s="111" t="s">
        <v>79</v>
      </c>
    </row>
    <row r="97" spans="6:65" hidden="1" x14ac:dyDescent="0.2">
      <c r="F97" t="s">
        <v>75</v>
      </c>
      <c r="G97">
        <f>IF($E$91&gt;20,0,+VLOOKUP(DIM!Q31,ebsvs!F93:I95,3,FALSE))</f>
        <v>179</v>
      </c>
      <c r="P97" s="113"/>
    </row>
    <row r="98" spans="6:65" hidden="1" x14ac:dyDescent="0.2">
      <c r="F98" t="s">
        <v>72</v>
      </c>
      <c r="G98">
        <f>IF($E$91&gt;20,0,+VLOOKUP(DIM!Q31,ebsvs!F93:I95,4,FALSE))</f>
        <v>61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1</v>
      </c>
      <c r="I102" s="142"/>
      <c r="J102" s="142">
        <f t="shared" ref="J102" si="11">+IF(J89&gt;$F$102,1,0)</f>
        <v>1</v>
      </c>
      <c r="K102" s="142"/>
      <c r="L102" s="142">
        <f t="shared" ref="L102" si="12">+IF(L89&gt;$F$102,1,0)</f>
        <v>1</v>
      </c>
      <c r="M102" s="142"/>
      <c r="N102" s="142">
        <f t="shared" ref="N102" si="13">+IF(N89&gt;$F$102,1,0)</f>
        <v>1</v>
      </c>
      <c r="O102" s="142"/>
      <c r="R102" s="142">
        <f t="shared" ref="R102:X102" si="14">+IF(R89&gt;$F$102,1,0)</f>
        <v>1</v>
      </c>
      <c r="S102" s="142"/>
      <c r="T102" s="142">
        <f t="shared" si="14"/>
        <v>1</v>
      </c>
      <c r="U102" s="142"/>
      <c r="V102" s="142">
        <f t="shared" si="14"/>
        <v>1</v>
      </c>
      <c r="W102" s="142"/>
      <c r="X102" s="142">
        <f t="shared" si="14"/>
        <v>1</v>
      </c>
      <c r="Y102" s="142"/>
      <c r="AB102" s="142">
        <f t="shared" ref="AB102:AH102" si="15">+IF(AB89&gt;$F$102,1,0)</f>
        <v>1</v>
      </c>
      <c r="AC102" s="142"/>
      <c r="AD102" s="142">
        <f t="shared" si="15"/>
        <v>1</v>
      </c>
      <c r="AE102" s="142"/>
      <c r="AF102" s="142">
        <f t="shared" si="15"/>
        <v>1</v>
      </c>
      <c r="AG102" s="142"/>
      <c r="AH102" s="142">
        <f t="shared" si="15"/>
        <v>1</v>
      </c>
      <c r="AI102" s="142"/>
      <c r="AL102" s="142">
        <f t="shared" ref="AL102:AR102" si="16">+IF(AL89&gt;$F$102,1,0)</f>
        <v>1</v>
      </c>
      <c r="AM102" s="142"/>
      <c r="AN102" s="142">
        <f t="shared" si="16"/>
        <v>1</v>
      </c>
      <c r="AO102" s="142"/>
      <c r="AP102" s="142">
        <f t="shared" si="16"/>
        <v>1</v>
      </c>
      <c r="AQ102" s="142"/>
      <c r="AR102" s="142">
        <f t="shared" si="16"/>
        <v>1</v>
      </c>
      <c r="AS102" s="142"/>
      <c r="AV102" s="142">
        <f t="shared" ref="AV102:BB102" si="17">+IF(AV89&gt;$F$102,1,0)</f>
        <v>1</v>
      </c>
      <c r="AW102" s="142"/>
      <c r="AX102" s="142">
        <f t="shared" si="17"/>
        <v>1</v>
      </c>
      <c r="AY102" s="142"/>
      <c r="AZ102" s="142">
        <f t="shared" si="17"/>
        <v>1</v>
      </c>
      <c r="BA102" s="142"/>
      <c r="BB102" s="142">
        <f t="shared" si="17"/>
        <v>1</v>
      </c>
      <c r="BC102" s="142"/>
      <c r="BF102" s="142">
        <f t="shared" ref="BF102:BL102" si="18">+IF(BF89&gt;$F$102,1,0)</f>
        <v>1</v>
      </c>
      <c r="BG102" s="142"/>
      <c r="BH102" s="142">
        <f t="shared" si="18"/>
        <v>1</v>
      </c>
      <c r="BI102" s="142"/>
      <c r="BJ102" s="142">
        <f t="shared" si="18"/>
        <v>1</v>
      </c>
      <c r="BK102" s="142"/>
      <c r="BL102" s="142">
        <f t="shared" si="18"/>
        <v>1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124</v>
      </c>
      <c r="L104" t="s">
        <v>130</v>
      </c>
      <c r="T104" t="s">
        <v>125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 t="str">
        <f>+IF(H102=1,H101,IF(J102=1,J101,IF(L102=1,L101,IF(N102=1,N101,0))))</f>
        <v>12+5</v>
      </c>
      <c r="L105" t="str">
        <f>+AE105</f>
        <v>15+5</v>
      </c>
      <c r="M105" t="str">
        <f>+AY105</f>
        <v>20+5</v>
      </c>
      <c r="U105" t="str">
        <f>+IF(R102=1,R101,IF(T102=1,T101,IF(V102=1,V101,IF(X102=1,X101,0))))</f>
        <v>12+5</v>
      </c>
      <c r="V105" t="str">
        <f>+AO105</f>
        <v>15+5</v>
      </c>
      <c r="W105" t="str">
        <f>+AY105</f>
        <v>20+5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12+5</v>
      </c>
      <c r="T106" s="111" t="str">
        <f>+IF(U105&gt;0,U105,IF(V105&gt;0,V105,IF(W105&gt;0,W105,"hors limite")))</f>
        <v>12+5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179</v>
      </c>
      <c r="K107">
        <f>+HLOOKUP(J106,H59:O88,28,FALSE)</f>
        <v>179</v>
      </c>
      <c r="L107">
        <f>+HLOOKUP(L105,AB59:AI88,28,FALSE)</f>
        <v>253</v>
      </c>
      <c r="M107">
        <f>+HLOOKUP(M105,AV59:BC88,28,FALSE)</f>
        <v>322</v>
      </c>
      <c r="T107" s="111">
        <f>+IF(U105&gt;0,U107,IF(V105&gt;0,V107,IF(W105&gt;0,W107,0)))</f>
        <v>179</v>
      </c>
      <c r="U107">
        <f>+HLOOKUP(U105,R59:Y88,28,FALSE)</f>
        <v>179</v>
      </c>
      <c r="V107">
        <f>+HLOOKUP(V105,AL59:AS88,28,FALSE)</f>
        <v>232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61</v>
      </c>
      <c r="K108">
        <f>+HLOOKUP(J106,H59:O88,29,FALSE)</f>
        <v>61</v>
      </c>
      <c r="L108">
        <f>+HLOOKUP(L105,AB59:AI88,29,FALSE)</f>
        <v>76</v>
      </c>
      <c r="M108">
        <f>+HLOOKUP(M105,AV59:BC88,29,FALSE)</f>
        <v>93</v>
      </c>
      <c r="T108" s="111">
        <f>+IF(U105&gt;0,U108,IF(V105&gt;0,V108,IF(W105&gt;0,W108,0)))</f>
        <v>61</v>
      </c>
      <c r="U108">
        <f>+HLOOKUP(U105,R59:Y88,29,FALSE)</f>
        <v>61</v>
      </c>
      <c r="V108">
        <f>+HLOOKUP(V105,AL59:AS88,29,FALSE)</f>
        <v>74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19">+IF(J43&gt;$F$102,1,0)</f>
        <v>1</v>
      </c>
      <c r="K114" s="142"/>
      <c r="L114" s="142">
        <f t="shared" ref="L114" si="20">+IF(L43&gt;$F$102,1,0)</f>
        <v>1</v>
      </c>
      <c r="M114" s="142"/>
      <c r="N114" s="142">
        <f t="shared" ref="N114" si="21">+IF(N43&gt;$F$102,1,0)</f>
        <v>1</v>
      </c>
      <c r="O114" s="142"/>
      <c r="R114" s="142">
        <f>+IF(R43&gt;$F$102,1,0)</f>
        <v>0</v>
      </c>
      <c r="S114" s="142"/>
      <c r="T114" s="142">
        <f t="shared" ref="T114" si="22">+IF(T43&gt;$F$102,1,0)</f>
        <v>0</v>
      </c>
      <c r="U114" s="142"/>
      <c r="V114" s="142">
        <f t="shared" ref="V114" si="23">+IF(V43&gt;$F$102,1,0)</f>
        <v>0</v>
      </c>
      <c r="W114" s="142"/>
      <c r="X114" s="142">
        <f t="shared" ref="X114" si="24">+IF(X43&gt;$F$102,1,0)</f>
        <v>0</v>
      </c>
      <c r="Y114" s="142"/>
      <c r="AB114" s="142">
        <f>+IF(AB43&gt;$F$102,1,0)</f>
        <v>1</v>
      </c>
      <c r="AC114" s="142"/>
      <c r="AD114" s="142">
        <f t="shared" ref="AD114" si="25">+IF(AD43&gt;$F$102,1,0)</f>
        <v>1</v>
      </c>
      <c r="AE114" s="142"/>
      <c r="AF114" s="142">
        <f t="shared" ref="AF114" si="26">+IF(AF43&gt;$F$102,1,0)</f>
        <v>1</v>
      </c>
      <c r="AG114" s="142"/>
      <c r="AH114" s="142">
        <f t="shared" ref="AH114" si="27">+IF(AH43&gt;$F$102,1,0)</f>
        <v>1</v>
      </c>
      <c r="AI114" s="142"/>
      <c r="AL114" s="142">
        <f>+IF(AL43&gt;$F$102,1,0)</f>
        <v>1</v>
      </c>
      <c r="AM114" s="142"/>
      <c r="AN114" s="142">
        <f t="shared" ref="AN114" si="28">+IF(AN43&gt;$F$102,1,0)</f>
        <v>1</v>
      </c>
      <c r="AO114" s="142"/>
      <c r="AP114" s="142">
        <f t="shared" ref="AP114" si="29">+IF(AP43&gt;$F$102,1,0)</f>
        <v>1</v>
      </c>
      <c r="AQ114" s="142"/>
      <c r="AR114" s="142">
        <f t="shared" ref="AR114" si="30">+IF(AR43&gt;$F$102,1,0)</f>
        <v>1</v>
      </c>
      <c r="AS114" s="142"/>
      <c r="AV114" s="142">
        <f>+IF(AV43&gt;$F$102,1,0)</f>
        <v>1</v>
      </c>
      <c r="AW114" s="142"/>
      <c r="AX114" s="142">
        <f t="shared" ref="AX114" si="31">+IF(AX43&gt;$F$102,1,0)</f>
        <v>1</v>
      </c>
      <c r="AY114" s="142"/>
      <c r="AZ114" s="142">
        <f t="shared" ref="AZ114" si="32">+IF(AZ43&gt;$F$102,1,0)</f>
        <v>1</v>
      </c>
      <c r="BA114" s="142"/>
      <c r="BB114" s="142">
        <f t="shared" ref="BB114" si="33">+IF(BB43&gt;$F$102,1,0)</f>
        <v>1</v>
      </c>
      <c r="BC114" s="142"/>
      <c r="BF114" s="142">
        <f>+IF(BF43&gt;$F$102,1,0)</f>
        <v>1</v>
      </c>
      <c r="BG114" s="142"/>
      <c r="BH114" s="142">
        <f t="shared" ref="BH114" si="34">+IF(BH43&gt;$F$102,1,0)</f>
        <v>1</v>
      </c>
      <c r="BI114" s="142"/>
      <c r="BJ114" s="142">
        <f t="shared" ref="BJ114" si="35">+IF(BJ43&gt;$F$102,1,0)</f>
        <v>1</v>
      </c>
      <c r="BK114" s="142"/>
      <c r="BL114" s="142">
        <f t="shared" ref="BL114" si="36">+IF(BL43&gt;$F$102,1,0)</f>
        <v>1</v>
      </c>
      <c r="BM114" s="142"/>
    </row>
    <row r="115" spans="6:65" hidden="1" x14ac:dyDescent="0.2"/>
    <row r="116" spans="6:65" hidden="1" x14ac:dyDescent="0.2">
      <c r="J116" t="s">
        <v>124</v>
      </c>
      <c r="L116" t="s">
        <v>88</v>
      </c>
      <c r="T116" t="s">
        <v>125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195</v>
      </c>
      <c r="M119">
        <f>+HLOOKUP(M117,AV13:BC41,28,FALSE)</f>
        <v>272</v>
      </c>
      <c r="T119" s="111">
        <f>+IF(U117&gt;0,U119,IF(V117&gt;0,V119,IF(W117&gt;0,W119,0)))</f>
        <v>198</v>
      </c>
      <c r="U119" t="e">
        <f>+HLOOKUP(U117,R13:Y41,28,FALSE)</f>
        <v>#N/A</v>
      </c>
      <c r="V119">
        <f>+HLOOKUP(V117,AL13:AS41,28,FALSE)</f>
        <v>198</v>
      </c>
      <c r="W119">
        <f>+HLOOKUP(W117,BF13:BM41,28,FALSE)</f>
        <v>272</v>
      </c>
    </row>
    <row r="120" spans="6:65" hidden="1" x14ac:dyDescent="0.2">
      <c r="I120" t="s">
        <v>72</v>
      </c>
      <c r="J120" s="111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69</v>
      </c>
      <c r="M120">
        <f>+HLOOKUP(M117,AV13:BC92,29,FALSE)</f>
        <v>86</v>
      </c>
      <c r="T120" s="111">
        <f>+IF(U117&gt;0,U120,IF(V117&gt;0,V120,IF(W117&gt;0,W120,0)))</f>
        <v>69</v>
      </c>
      <c r="U120" t="e">
        <f>+HLOOKUP(U117,R13:Y41,29,FALSE)</f>
        <v>#N/A</v>
      </c>
      <c r="V120">
        <f>+HLOOKUP(V117,AL13:AS41,29,FALSE)</f>
        <v>69</v>
      </c>
      <c r="W120">
        <f>+HLOOKUP(W117,BF13:BM41,29,FALSE)</f>
        <v>86</v>
      </c>
    </row>
    <row r="121" spans="6:65" hidden="1" x14ac:dyDescent="0.2"/>
    <row r="122" spans="6:65" hidden="1" x14ac:dyDescent="0.2"/>
    <row r="123" spans="6:65" hidden="1" x14ac:dyDescent="0.2"/>
  </sheetData>
  <sheetProtection algorithmName="SHA-512" hashValue="9rDG9bEMMByn/mgQONQBjsmohVIFSWN9DXOpbg42mlnFYcAZPq4cuyv00FqbHgU/nW15kSjmrWe3ekzRvYIyaw==" saltValue="W4Sfsl3c+ro2lDoAAfuJPg==" spinCount="100000" sheet="1" objects="1" scenarios="1"/>
  <mergeCells count="336">
    <mergeCell ref="BL89:BM89"/>
    <mergeCell ref="AR89:AS89"/>
    <mergeCell ref="AV89:AW89"/>
    <mergeCell ref="AX89:AY89"/>
    <mergeCell ref="AZ89:BA89"/>
    <mergeCell ref="BB89:BC89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BB87:BC87"/>
    <mergeCell ref="BF87:BG87"/>
    <mergeCell ref="BH87:BI87"/>
    <mergeCell ref="BJ87:BK87"/>
    <mergeCell ref="AF89:AG89"/>
    <mergeCell ref="AH89:AI89"/>
    <mergeCell ref="AL89:AM89"/>
    <mergeCell ref="AN89:AO89"/>
    <mergeCell ref="AP89:AQ89"/>
    <mergeCell ref="BF89:BG89"/>
    <mergeCell ref="BH89:BI89"/>
    <mergeCell ref="BJ89:BK89"/>
    <mergeCell ref="BL87:BM87"/>
    <mergeCell ref="AP87:AQ87"/>
    <mergeCell ref="AR87:AS87"/>
    <mergeCell ref="AV87:AW87"/>
    <mergeCell ref="AX87:AY87"/>
    <mergeCell ref="AZ87:BA87"/>
    <mergeCell ref="BJ86:BK86"/>
    <mergeCell ref="BL86:BM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X86:AY86"/>
    <mergeCell ref="AZ86:BA86"/>
    <mergeCell ref="BB86:BC86"/>
    <mergeCell ref="BF86:BG86"/>
    <mergeCell ref="BH86:BI86"/>
    <mergeCell ref="AL86:AM86"/>
    <mergeCell ref="AN86:AO86"/>
    <mergeCell ref="AP86:AQ86"/>
    <mergeCell ref="AR86:AS86"/>
    <mergeCell ref="AV86:AW86"/>
    <mergeCell ref="BF60:BG60"/>
    <mergeCell ref="BH60:BI60"/>
    <mergeCell ref="BJ60:BK60"/>
    <mergeCell ref="BL60:BM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R60:AS60"/>
    <mergeCell ref="AV60:AW60"/>
    <mergeCell ref="AX60:AY60"/>
    <mergeCell ref="AZ60:BA60"/>
    <mergeCell ref="BB60:BC60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AL40:AM40"/>
    <mergeCell ref="AL41:AM41"/>
    <mergeCell ref="AN40:AO40"/>
    <mergeCell ref="AP40:AQ40"/>
    <mergeCell ref="AR40:AS40"/>
    <mergeCell ref="AR41:AS41"/>
    <mergeCell ref="AP41:AQ41"/>
    <mergeCell ref="AN41:AO41"/>
    <mergeCell ref="AL43:AM43"/>
    <mergeCell ref="AN43:AO43"/>
    <mergeCell ref="AP43:AQ43"/>
    <mergeCell ref="AR43:AS43"/>
    <mergeCell ref="AB43:AC43"/>
    <mergeCell ref="AD43:AE43"/>
    <mergeCell ref="AF43:AG43"/>
    <mergeCell ref="AH43:AI43"/>
    <mergeCell ref="T43:U43"/>
    <mergeCell ref="V40:W40"/>
    <mergeCell ref="X40:Y40"/>
    <mergeCell ref="AB41:AC41"/>
    <mergeCell ref="AD41:AE41"/>
    <mergeCell ref="AF41:AG41"/>
    <mergeCell ref="AH41:AI41"/>
    <mergeCell ref="AF40:AG40"/>
    <mergeCell ref="AH40:AI40"/>
    <mergeCell ref="H41:I41"/>
    <mergeCell ref="J41:K41"/>
    <mergeCell ref="L41:M41"/>
    <mergeCell ref="N41:O41"/>
    <mergeCell ref="R41:S41"/>
    <mergeCell ref="T41:U41"/>
    <mergeCell ref="V41:W41"/>
    <mergeCell ref="X41:Y41"/>
    <mergeCell ref="H43:I43"/>
    <mergeCell ref="J43:K43"/>
    <mergeCell ref="L43:M43"/>
    <mergeCell ref="N43:O43"/>
    <mergeCell ref="R43:S43"/>
    <mergeCell ref="V43:W43"/>
    <mergeCell ref="X43:Y43"/>
    <mergeCell ref="AL14:AM14"/>
    <mergeCell ref="AN14:AO14"/>
    <mergeCell ref="AP14:AQ14"/>
    <mergeCell ref="AR14:AS14"/>
    <mergeCell ref="H40:I40"/>
    <mergeCell ref="J40:K40"/>
    <mergeCell ref="L40:M40"/>
    <mergeCell ref="N40:O40"/>
    <mergeCell ref="R40:S40"/>
    <mergeCell ref="T40:U40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AB40:AC40"/>
    <mergeCell ref="AD40:AE40"/>
    <mergeCell ref="AV40:AW40"/>
    <mergeCell ref="AX40:AY40"/>
    <mergeCell ref="AZ40:BA40"/>
    <mergeCell ref="BB40:BC40"/>
    <mergeCell ref="BF40:BG40"/>
    <mergeCell ref="BH40:BI40"/>
    <mergeCell ref="BJ40:BK40"/>
    <mergeCell ref="BL40:BM40"/>
    <mergeCell ref="AV14:AW14"/>
    <mergeCell ref="AX14:AY14"/>
    <mergeCell ref="AZ14:BA14"/>
    <mergeCell ref="BB14:BC14"/>
    <mergeCell ref="BF14:BG14"/>
    <mergeCell ref="AV43:AW43"/>
    <mergeCell ref="AX43:AY43"/>
    <mergeCell ref="AZ43:BA43"/>
    <mergeCell ref="BB43:BC43"/>
    <mergeCell ref="BF43:BG43"/>
    <mergeCell ref="BH43:BI43"/>
    <mergeCell ref="BJ43:BK43"/>
    <mergeCell ref="BL43:BM43"/>
    <mergeCell ref="AV41:AW41"/>
    <mergeCell ref="AX41:AY41"/>
    <mergeCell ref="AZ41:BA41"/>
    <mergeCell ref="BB41:BC41"/>
    <mergeCell ref="BF41:BG41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  <mergeCell ref="BJ114:BK114"/>
    <mergeCell ref="BL114:BM1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D59:AE59"/>
    <mergeCell ref="AF59:AG59"/>
    <mergeCell ref="AH59:AI59"/>
    <mergeCell ref="AL59:AM59"/>
    <mergeCell ref="AN59:AO59"/>
    <mergeCell ref="AP59:AQ59"/>
    <mergeCell ref="AR59:AS59"/>
    <mergeCell ref="AV59:AW59"/>
    <mergeCell ref="AX59:AY59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Z59:BA59"/>
    <mergeCell ref="BB59:BC59"/>
    <mergeCell ref="BF59:BG59"/>
    <mergeCell ref="BH59:BI59"/>
    <mergeCell ref="BJ59:BK59"/>
    <mergeCell ref="BL59:BM59"/>
    <mergeCell ref="AZ13:BA13"/>
    <mergeCell ref="BB13:BC13"/>
    <mergeCell ref="BF13:BG13"/>
    <mergeCell ref="BH13:BI13"/>
    <mergeCell ref="BJ13:BK13"/>
    <mergeCell ref="BL13:BM13"/>
    <mergeCell ref="BH41:BI41"/>
    <mergeCell ref="BJ41:BK41"/>
    <mergeCell ref="BL41:BM41"/>
    <mergeCell ref="BH14:BI14"/>
    <mergeCell ref="BJ14:BK14"/>
    <mergeCell ref="BL14:BM14"/>
  </mergeCells>
  <phoneticPr fontId="26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6C11-0E1C-4E44-B542-BBE6CC352627}">
  <dimension ref="E5:BM123"/>
  <sheetViews>
    <sheetView showGridLines="0" showRowColHeaders="0" topLeftCell="D1" zoomScale="130" zoomScaleNormal="130" workbookViewId="0">
      <selection activeCell="F138" sqref="F138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</cols>
  <sheetData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>
        <v>12</v>
      </c>
      <c r="U10" s="110">
        <v>12</v>
      </c>
      <c r="AE10" s="110">
        <v>15</v>
      </c>
      <c r="AO10" s="110">
        <v>15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</row>
    <row r="12" spans="7:65" hidden="1" x14ac:dyDescent="0.2">
      <c r="H12">
        <v>137</v>
      </c>
      <c r="R12">
        <v>937</v>
      </c>
      <c r="AB12">
        <v>158</v>
      </c>
      <c r="AD12">
        <v>179</v>
      </c>
      <c r="AF12">
        <v>189</v>
      </c>
      <c r="AH12">
        <v>189</v>
      </c>
      <c r="AL12" t="s">
        <v>69</v>
      </c>
      <c r="AN12">
        <v>179</v>
      </c>
      <c r="AP12">
        <v>189</v>
      </c>
      <c r="AR12">
        <v>189</v>
      </c>
    </row>
    <row r="13" spans="7:6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</row>
    <row r="16" spans="7:65" hidden="1" x14ac:dyDescent="0.2">
      <c r="G16" t="s">
        <v>166</v>
      </c>
      <c r="H16">
        <v>6.1</v>
      </c>
      <c r="I16">
        <v>6.5</v>
      </c>
      <c r="J16">
        <v>6.25</v>
      </c>
      <c r="K16">
        <v>6.7</v>
      </c>
      <c r="L16">
        <v>6.4</v>
      </c>
      <c r="M16">
        <v>6.9</v>
      </c>
      <c r="N16">
        <v>6.6</v>
      </c>
      <c r="O16">
        <v>7.1</v>
      </c>
      <c r="Q16" t="s">
        <v>166</v>
      </c>
      <c r="R16">
        <v>5.3</v>
      </c>
      <c r="S16">
        <v>5.3</v>
      </c>
      <c r="T16">
        <v>5.0999999999999996</v>
      </c>
      <c r="U16">
        <v>5.0999999999999996</v>
      </c>
      <c r="V16">
        <v>4.95</v>
      </c>
      <c r="W16">
        <v>4.95</v>
      </c>
      <c r="X16">
        <v>4.8</v>
      </c>
      <c r="Y16">
        <v>4.8</v>
      </c>
      <c r="AA16" t="s">
        <v>166</v>
      </c>
      <c r="AB16">
        <v>6.9</v>
      </c>
      <c r="AC16">
        <v>7.4</v>
      </c>
      <c r="AD16">
        <v>7.25</v>
      </c>
      <c r="AE16">
        <v>7.85</v>
      </c>
      <c r="AF16">
        <v>7.35</v>
      </c>
      <c r="AG16">
        <v>8</v>
      </c>
      <c r="AH16">
        <v>7.5</v>
      </c>
      <c r="AI16">
        <v>8.15</v>
      </c>
      <c r="AK16" t="s">
        <v>166</v>
      </c>
      <c r="AL16">
        <v>5.05</v>
      </c>
      <c r="AM16">
        <v>5.05</v>
      </c>
      <c r="AN16">
        <v>6.2</v>
      </c>
      <c r="AO16">
        <v>6.35</v>
      </c>
      <c r="AP16">
        <v>6</v>
      </c>
      <c r="AQ16">
        <v>6</v>
      </c>
      <c r="AR16">
        <v>5.8</v>
      </c>
      <c r="AS16">
        <v>5.8</v>
      </c>
    </row>
    <row r="17" spans="7:4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5.3</v>
      </c>
      <c r="S17">
        <v>5.3</v>
      </c>
      <c r="T17">
        <v>5.0999999999999996</v>
      </c>
      <c r="U17">
        <v>5.0999999999999996</v>
      </c>
      <c r="V17">
        <v>4.95</v>
      </c>
      <c r="W17">
        <v>4.95</v>
      </c>
      <c r="X17">
        <v>4.8</v>
      </c>
      <c r="Y17">
        <v>4.8</v>
      </c>
      <c r="AA17" t="s">
        <v>34</v>
      </c>
      <c r="AB17">
        <v>6.5</v>
      </c>
      <c r="AC17">
        <v>7.05</v>
      </c>
      <c r="AD17">
        <v>6.9</v>
      </c>
      <c r="AE17">
        <v>7.45</v>
      </c>
      <c r="AF17">
        <v>7</v>
      </c>
      <c r="AG17">
        <v>7.6</v>
      </c>
      <c r="AH17">
        <v>7.1</v>
      </c>
      <c r="AI17">
        <v>7.45</v>
      </c>
      <c r="AK17" t="s">
        <v>34</v>
      </c>
      <c r="AL17">
        <v>5.05</v>
      </c>
      <c r="AM17">
        <v>5.05</v>
      </c>
      <c r="AN17">
        <v>6.2</v>
      </c>
      <c r="AO17">
        <v>6.35</v>
      </c>
      <c r="AP17">
        <v>6</v>
      </c>
      <c r="AQ17">
        <v>6</v>
      </c>
      <c r="AR17">
        <v>5.8</v>
      </c>
      <c r="AS17">
        <v>5.8</v>
      </c>
    </row>
    <row r="18" spans="7:45" hidden="1" x14ac:dyDescent="0.2">
      <c r="G18" t="s">
        <v>35</v>
      </c>
      <c r="H18">
        <v>5.5</v>
      </c>
      <c r="I18">
        <v>5.85</v>
      </c>
      <c r="J18">
        <v>5.5</v>
      </c>
      <c r="K18">
        <v>5.6</v>
      </c>
      <c r="L18">
        <v>5.7</v>
      </c>
      <c r="M18">
        <v>5.8</v>
      </c>
      <c r="N18">
        <v>5.95</v>
      </c>
      <c r="O18">
        <v>6.5</v>
      </c>
      <c r="Q18" t="s">
        <v>35</v>
      </c>
      <c r="R18">
        <v>5.3</v>
      </c>
      <c r="S18">
        <v>5.3</v>
      </c>
      <c r="T18">
        <v>5.0999999999999996</v>
      </c>
      <c r="U18">
        <v>5.0999999999999996</v>
      </c>
      <c r="V18">
        <v>4.95</v>
      </c>
      <c r="W18">
        <v>4.95</v>
      </c>
      <c r="X18">
        <v>4.8</v>
      </c>
      <c r="Y18">
        <v>4.8</v>
      </c>
      <c r="AA18" t="s">
        <v>35</v>
      </c>
      <c r="AB18">
        <v>6.2</v>
      </c>
      <c r="AC18">
        <v>6.7</v>
      </c>
      <c r="AD18">
        <v>6.55</v>
      </c>
      <c r="AE18">
        <v>7.15</v>
      </c>
      <c r="AF18">
        <v>6.65</v>
      </c>
      <c r="AG18">
        <v>7.3</v>
      </c>
      <c r="AH18">
        <v>6.8</v>
      </c>
      <c r="AI18">
        <v>7.45</v>
      </c>
      <c r="AK18" t="s">
        <v>35</v>
      </c>
      <c r="AL18">
        <v>5.05</v>
      </c>
      <c r="AM18">
        <v>5.05</v>
      </c>
      <c r="AN18">
        <v>6</v>
      </c>
      <c r="AO18">
        <v>6.3</v>
      </c>
      <c r="AP18">
        <v>6</v>
      </c>
      <c r="AQ18">
        <v>6</v>
      </c>
      <c r="AR18">
        <v>5.8</v>
      </c>
      <c r="AS18">
        <v>5.8</v>
      </c>
    </row>
    <row r="19" spans="7:4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4.95</v>
      </c>
      <c r="S19">
        <v>5.2</v>
      </c>
      <c r="T19">
        <v>5.0999999999999996</v>
      </c>
      <c r="U19">
        <v>5.0999999999999996</v>
      </c>
      <c r="V19">
        <v>4.95</v>
      </c>
      <c r="W19">
        <v>4.95</v>
      </c>
      <c r="X19">
        <v>4.75</v>
      </c>
      <c r="Y19">
        <v>4.8</v>
      </c>
      <c r="AA19" t="s">
        <v>36</v>
      </c>
      <c r="AB19">
        <v>5.9</v>
      </c>
      <c r="AC19">
        <v>6.45</v>
      </c>
      <c r="AD19">
        <v>6.3</v>
      </c>
      <c r="AE19">
        <v>6.85</v>
      </c>
      <c r="AF19">
        <v>6.4</v>
      </c>
      <c r="AG19">
        <v>7</v>
      </c>
      <c r="AH19">
        <v>5.55</v>
      </c>
      <c r="AI19">
        <v>7.2</v>
      </c>
      <c r="AK19" t="s">
        <v>36</v>
      </c>
      <c r="AL19">
        <v>5.05</v>
      </c>
      <c r="AM19">
        <v>5.05</v>
      </c>
      <c r="AN19">
        <v>5.8</v>
      </c>
      <c r="AO19">
        <v>6.1</v>
      </c>
      <c r="AP19">
        <v>5.8</v>
      </c>
      <c r="AQ19">
        <v>6</v>
      </c>
      <c r="AR19">
        <v>5.7</v>
      </c>
      <c r="AS19">
        <v>6</v>
      </c>
    </row>
    <row r="20" spans="7:45" hidden="1" x14ac:dyDescent="0.2">
      <c r="G20" t="s">
        <v>37</v>
      </c>
      <c r="H20">
        <v>5.2</v>
      </c>
      <c r="I20">
        <v>5.4</v>
      </c>
      <c r="J20">
        <v>5.4</v>
      </c>
      <c r="K20">
        <v>5.65</v>
      </c>
      <c r="L20">
        <v>5.7</v>
      </c>
      <c r="M20">
        <v>5.85</v>
      </c>
      <c r="N20">
        <v>5.85</v>
      </c>
      <c r="O20">
        <v>6.05</v>
      </c>
      <c r="Q20" t="s">
        <v>37</v>
      </c>
      <c r="R20">
        <v>4.8</v>
      </c>
      <c r="S20">
        <v>4.5999999999999996</v>
      </c>
      <c r="T20">
        <v>4.75</v>
      </c>
      <c r="U20">
        <v>5</v>
      </c>
      <c r="V20">
        <v>4.7</v>
      </c>
      <c r="W20">
        <v>4.95</v>
      </c>
      <c r="X20">
        <v>4.6500000000000004</v>
      </c>
      <c r="Y20">
        <v>4.8</v>
      </c>
      <c r="AA20" t="s">
        <v>37</v>
      </c>
      <c r="AB20">
        <v>5.7</v>
      </c>
      <c r="AC20">
        <v>6.25</v>
      </c>
      <c r="AD20">
        <v>6.05</v>
      </c>
      <c r="AE20">
        <v>6.65</v>
      </c>
      <c r="AF20">
        <v>6.15</v>
      </c>
      <c r="AG20">
        <v>6.8</v>
      </c>
      <c r="AH20">
        <v>6.35</v>
      </c>
      <c r="AI20">
        <v>6.95</v>
      </c>
      <c r="AK20" t="s">
        <v>37</v>
      </c>
      <c r="AL20">
        <v>5.05</v>
      </c>
      <c r="AM20">
        <v>5.05</v>
      </c>
      <c r="AN20">
        <v>5.6</v>
      </c>
      <c r="AO20">
        <v>5.9</v>
      </c>
      <c r="AP20">
        <v>5.6</v>
      </c>
      <c r="AQ20">
        <v>5.95</v>
      </c>
      <c r="AR20">
        <v>5.55</v>
      </c>
      <c r="AS20">
        <v>5.8</v>
      </c>
    </row>
    <row r="21" spans="7:45" hidden="1" x14ac:dyDescent="0.2">
      <c r="G21" t="s">
        <v>80</v>
      </c>
      <c r="H21">
        <v>4.8</v>
      </c>
      <c r="I21">
        <v>5.25</v>
      </c>
      <c r="J21">
        <v>5</v>
      </c>
      <c r="K21">
        <v>5.45</v>
      </c>
      <c r="L21">
        <v>5.15</v>
      </c>
      <c r="M21">
        <v>5.65</v>
      </c>
      <c r="N21">
        <v>5.35</v>
      </c>
      <c r="O21">
        <v>5.85</v>
      </c>
      <c r="Q21" t="s">
        <v>80</v>
      </c>
      <c r="R21">
        <v>4.6500000000000004</v>
      </c>
      <c r="S21">
        <v>4.9000000000000004</v>
      </c>
      <c r="T21">
        <v>4.6500000000000004</v>
      </c>
      <c r="U21">
        <v>4.8499999999999996</v>
      </c>
      <c r="V21">
        <v>4.5999999999999996</v>
      </c>
      <c r="W21">
        <v>4.8499999999999996</v>
      </c>
      <c r="X21">
        <v>4.5</v>
      </c>
      <c r="Y21">
        <v>4.8</v>
      </c>
      <c r="AA21" t="s">
        <v>80</v>
      </c>
      <c r="AB21">
        <v>5.5</v>
      </c>
      <c r="AC21">
        <v>6.05</v>
      </c>
      <c r="AD21">
        <v>5.85</v>
      </c>
      <c r="AE21">
        <v>6.4</v>
      </c>
      <c r="AF21">
        <v>6</v>
      </c>
      <c r="AG21">
        <v>6.55</v>
      </c>
      <c r="AH21">
        <v>6.15</v>
      </c>
      <c r="AI21">
        <v>6.75</v>
      </c>
      <c r="AK21" t="s">
        <v>80</v>
      </c>
      <c r="AL21">
        <v>4.75</v>
      </c>
      <c r="AM21">
        <v>5</v>
      </c>
      <c r="AN21">
        <v>5.45</v>
      </c>
      <c r="AO21">
        <v>5.75</v>
      </c>
      <c r="AP21">
        <v>5.5</v>
      </c>
      <c r="AQ21">
        <v>5.75</v>
      </c>
      <c r="AR21">
        <v>5.4</v>
      </c>
      <c r="AS21">
        <v>5.7</v>
      </c>
    </row>
    <row r="22" spans="7:45" hidden="1" x14ac:dyDescent="0.2">
      <c r="G22" t="s">
        <v>38</v>
      </c>
      <c r="H22">
        <v>4.5</v>
      </c>
      <c r="I22">
        <v>4.95</v>
      </c>
      <c r="J22">
        <v>4.7</v>
      </c>
      <c r="K22">
        <v>5.15</v>
      </c>
      <c r="L22">
        <v>4.8499999999999996</v>
      </c>
      <c r="M22">
        <v>5.35</v>
      </c>
      <c r="N22">
        <v>5.05</v>
      </c>
      <c r="O22">
        <v>5.55</v>
      </c>
      <c r="Q22" t="s">
        <v>38</v>
      </c>
      <c r="R22">
        <v>4.4000000000000004</v>
      </c>
      <c r="S22">
        <v>4.6500000000000004</v>
      </c>
      <c r="T22">
        <v>4.4000000000000004</v>
      </c>
      <c r="U22">
        <v>4.6500000000000004</v>
      </c>
      <c r="V22">
        <v>4.4000000000000004</v>
      </c>
      <c r="W22">
        <v>4.6500000000000004</v>
      </c>
      <c r="X22">
        <v>4.3499999999999996</v>
      </c>
      <c r="Y22">
        <v>4.5999999999999996</v>
      </c>
      <c r="AA22" t="s">
        <v>38</v>
      </c>
      <c r="AB22">
        <v>5.2</v>
      </c>
      <c r="AC22">
        <v>5.75</v>
      </c>
      <c r="AD22">
        <v>5.5</v>
      </c>
      <c r="AE22">
        <v>6.05</v>
      </c>
      <c r="AF22">
        <v>5.65</v>
      </c>
      <c r="AG22">
        <v>6.2</v>
      </c>
      <c r="AH22">
        <v>5.8</v>
      </c>
      <c r="AI22">
        <v>6.4</v>
      </c>
      <c r="AK22" t="s">
        <v>38</v>
      </c>
      <c r="AL22">
        <v>4.55</v>
      </c>
      <c r="AM22">
        <v>4.8</v>
      </c>
      <c r="AN22">
        <v>5.15</v>
      </c>
      <c r="AO22">
        <v>4.45</v>
      </c>
      <c r="AP22">
        <v>5.2</v>
      </c>
      <c r="AQ22">
        <v>5.5</v>
      </c>
      <c r="AR22">
        <v>5.15</v>
      </c>
      <c r="AS22">
        <v>5.45</v>
      </c>
    </row>
    <row r="23" spans="7:45" hidden="1" x14ac:dyDescent="0.2">
      <c r="G23" t="s">
        <v>39</v>
      </c>
      <c r="H23">
        <v>4.25</v>
      </c>
      <c r="I23">
        <v>4.7</v>
      </c>
      <c r="J23">
        <v>4.45</v>
      </c>
      <c r="K23">
        <v>4.9000000000000004</v>
      </c>
      <c r="L23">
        <v>4.5999999999999996</v>
      </c>
      <c r="M23">
        <v>5.0999999999999996</v>
      </c>
      <c r="N23">
        <v>4.8</v>
      </c>
      <c r="O23">
        <v>5.3</v>
      </c>
      <c r="Q23" t="s">
        <v>39</v>
      </c>
      <c r="R23">
        <v>4.2</v>
      </c>
      <c r="S23">
        <v>4.4000000000000004</v>
      </c>
      <c r="T23">
        <v>4.2</v>
      </c>
      <c r="U23">
        <v>4.45</v>
      </c>
      <c r="V23">
        <v>4.2</v>
      </c>
      <c r="W23">
        <v>4.4000000000000004</v>
      </c>
      <c r="X23">
        <v>4.2</v>
      </c>
      <c r="Y23">
        <v>4.4000000000000004</v>
      </c>
      <c r="AA23" t="s">
        <v>39</v>
      </c>
      <c r="AB23">
        <v>4.9000000000000004</v>
      </c>
      <c r="AC23">
        <v>5.4</v>
      </c>
      <c r="AD23">
        <v>5.25</v>
      </c>
      <c r="AE23">
        <v>5.8</v>
      </c>
      <c r="AF23">
        <v>5.4</v>
      </c>
      <c r="AG23">
        <v>5.9</v>
      </c>
      <c r="AH23">
        <v>5.5</v>
      </c>
      <c r="AI23">
        <v>6.1</v>
      </c>
      <c r="AK23" t="s">
        <v>39</v>
      </c>
      <c r="AL23">
        <v>4.3499999999999996</v>
      </c>
      <c r="AM23">
        <v>4.5999999999999996</v>
      </c>
      <c r="AN23">
        <v>4.9000000000000004</v>
      </c>
      <c r="AO23">
        <v>5.15</v>
      </c>
      <c r="AP23">
        <v>4.95</v>
      </c>
      <c r="AQ23">
        <v>5.25</v>
      </c>
      <c r="AR23">
        <v>4.95</v>
      </c>
      <c r="AS23">
        <v>5.2</v>
      </c>
    </row>
    <row r="24" spans="7:45" hidden="1" x14ac:dyDescent="0.2">
      <c r="G24" t="s">
        <v>167</v>
      </c>
      <c r="H24">
        <v>5.6</v>
      </c>
      <c r="I24">
        <v>5.9</v>
      </c>
      <c r="J24">
        <v>5.8</v>
      </c>
      <c r="K24">
        <v>6.15</v>
      </c>
      <c r="L24">
        <v>6</v>
      </c>
      <c r="M24">
        <v>6.3</v>
      </c>
      <c r="N24">
        <v>6.15</v>
      </c>
      <c r="O24">
        <v>6.55</v>
      </c>
      <c r="Q24" t="s">
        <v>167</v>
      </c>
      <c r="R24">
        <v>5.0999999999999996</v>
      </c>
      <c r="S24">
        <v>5.3</v>
      </c>
      <c r="T24">
        <v>5.05</v>
      </c>
      <c r="U24">
        <v>5.0999999999999996</v>
      </c>
      <c r="V24">
        <v>4.95</v>
      </c>
      <c r="W24">
        <v>4.95</v>
      </c>
      <c r="X24">
        <v>4.8</v>
      </c>
      <c r="Y24">
        <v>4.8</v>
      </c>
      <c r="AA24" t="s">
        <v>167</v>
      </c>
      <c r="AB24">
        <v>6.4</v>
      </c>
      <c r="AC24">
        <v>6.75</v>
      </c>
      <c r="AD24">
        <v>6.8</v>
      </c>
      <c r="AE24">
        <v>7.2</v>
      </c>
      <c r="AF24">
        <v>6.9</v>
      </c>
      <c r="AG24">
        <v>7.3</v>
      </c>
      <c r="AH24">
        <v>7.05</v>
      </c>
      <c r="AI24">
        <v>7.5</v>
      </c>
      <c r="AK24" t="s">
        <v>167</v>
      </c>
      <c r="AL24">
        <v>5.05</v>
      </c>
      <c r="AM24">
        <v>5.05</v>
      </c>
      <c r="AN24">
        <v>5.7</v>
      </c>
      <c r="AO24">
        <v>6.05</v>
      </c>
      <c r="AP24">
        <v>5.8</v>
      </c>
      <c r="AQ24">
        <v>6</v>
      </c>
      <c r="AR24">
        <v>5.75</v>
      </c>
      <c r="AS24">
        <v>5.8</v>
      </c>
    </row>
    <row r="25" spans="7:45" hidden="1" x14ac:dyDescent="0.2">
      <c r="G25" t="s">
        <v>40</v>
      </c>
      <c r="H25">
        <v>5.4</v>
      </c>
      <c r="I25">
        <v>5.5</v>
      </c>
      <c r="J25">
        <v>5.6</v>
      </c>
      <c r="K25">
        <v>5.85</v>
      </c>
      <c r="L25">
        <v>5.7</v>
      </c>
      <c r="M25">
        <v>6.05</v>
      </c>
      <c r="N25">
        <v>5.95</v>
      </c>
      <c r="O25">
        <v>6.2</v>
      </c>
      <c r="Q25" t="s">
        <v>40</v>
      </c>
      <c r="R25">
        <v>4.95</v>
      </c>
      <c r="S25">
        <v>5.2</v>
      </c>
      <c r="T25">
        <v>4.9000000000000004</v>
      </c>
      <c r="U25">
        <v>5.0999999999999996</v>
      </c>
      <c r="V25">
        <v>4.8</v>
      </c>
      <c r="W25">
        <v>4.95</v>
      </c>
      <c r="X25">
        <v>4.75</v>
      </c>
      <c r="Y25">
        <v>4.8</v>
      </c>
      <c r="AA25" t="s">
        <v>40</v>
      </c>
      <c r="AB25">
        <v>6.1</v>
      </c>
      <c r="AC25">
        <v>6.5</v>
      </c>
      <c r="AD25">
        <v>6.45</v>
      </c>
      <c r="AE25">
        <v>6.9</v>
      </c>
      <c r="AF25">
        <v>6.6</v>
      </c>
      <c r="AG25">
        <v>7</v>
      </c>
      <c r="AH25">
        <v>6.75</v>
      </c>
      <c r="AI25">
        <v>7.2</v>
      </c>
      <c r="AK25" t="s">
        <v>40</v>
      </c>
      <c r="AL25">
        <v>5.05</v>
      </c>
      <c r="AM25">
        <v>5.05</v>
      </c>
      <c r="AN25">
        <v>5.7</v>
      </c>
      <c r="AO25">
        <v>6.05</v>
      </c>
      <c r="AP25">
        <v>5.8</v>
      </c>
      <c r="AQ25">
        <v>6</v>
      </c>
      <c r="AR25">
        <v>5.75</v>
      </c>
      <c r="AS25">
        <v>5.8</v>
      </c>
    </row>
    <row r="26" spans="7:45" hidden="1" x14ac:dyDescent="0.2">
      <c r="G26" t="s">
        <v>41</v>
      </c>
      <c r="H26">
        <v>5.0999999999999996</v>
      </c>
      <c r="I26">
        <v>5.45</v>
      </c>
      <c r="J26">
        <v>5.3</v>
      </c>
      <c r="K26">
        <v>5.65</v>
      </c>
      <c r="L26">
        <v>5.5</v>
      </c>
      <c r="M26">
        <v>5.85</v>
      </c>
      <c r="N26">
        <v>5.65</v>
      </c>
      <c r="O26">
        <v>6.05</v>
      </c>
      <c r="Q26" t="s">
        <v>41</v>
      </c>
      <c r="R26">
        <v>4.8</v>
      </c>
      <c r="S26">
        <v>5.05</v>
      </c>
      <c r="T26">
        <v>4.75</v>
      </c>
      <c r="U26">
        <v>5</v>
      </c>
      <c r="V26">
        <v>4.7</v>
      </c>
      <c r="W26">
        <v>4.95</v>
      </c>
      <c r="X26">
        <v>4.6500000000000004</v>
      </c>
      <c r="Y26">
        <v>4.8</v>
      </c>
      <c r="AA26" t="s">
        <v>41</v>
      </c>
      <c r="AB26">
        <v>5.85</v>
      </c>
      <c r="AC26">
        <v>6.25</v>
      </c>
      <c r="AD26">
        <v>6.2</v>
      </c>
      <c r="AE26">
        <v>6.65</v>
      </c>
      <c r="AF26">
        <v>6.35</v>
      </c>
      <c r="AG26">
        <v>6.8</v>
      </c>
      <c r="AH26">
        <v>6.55</v>
      </c>
      <c r="AI26">
        <v>7</v>
      </c>
      <c r="AK26" t="s">
        <v>41</v>
      </c>
      <c r="AL26">
        <v>5.05</v>
      </c>
      <c r="AM26">
        <v>5.05</v>
      </c>
      <c r="AN26">
        <v>5.6</v>
      </c>
      <c r="AO26">
        <v>6.05</v>
      </c>
      <c r="AP26">
        <v>5.65</v>
      </c>
      <c r="AQ26">
        <v>5.95</v>
      </c>
      <c r="AR26">
        <v>5.8</v>
      </c>
      <c r="AS26">
        <v>5.8</v>
      </c>
    </row>
    <row r="27" spans="7:45" hidden="1" x14ac:dyDescent="0.2">
      <c r="G27" t="s">
        <v>42</v>
      </c>
      <c r="H27">
        <v>4.9000000000000004</v>
      </c>
      <c r="I27">
        <v>5.25</v>
      </c>
      <c r="J27">
        <v>5.0999999999999996</v>
      </c>
      <c r="K27">
        <v>5.45</v>
      </c>
      <c r="L27">
        <v>5.3</v>
      </c>
      <c r="M27">
        <v>5.65</v>
      </c>
      <c r="N27">
        <v>5.45</v>
      </c>
      <c r="O27">
        <v>5.85</v>
      </c>
      <c r="Q27" t="s">
        <v>42</v>
      </c>
      <c r="R27">
        <v>4.6500000000000004</v>
      </c>
      <c r="S27">
        <v>4.9000000000000004</v>
      </c>
      <c r="T27">
        <v>4.5999999999999996</v>
      </c>
      <c r="U27">
        <v>4.8499999999999996</v>
      </c>
      <c r="V27">
        <v>4.5999999999999996</v>
      </c>
      <c r="W27">
        <v>4.8499999999999996</v>
      </c>
      <c r="X27">
        <v>4.55</v>
      </c>
      <c r="Y27">
        <v>4.8</v>
      </c>
      <c r="AA27" t="s">
        <v>42</v>
      </c>
      <c r="AB27">
        <v>5.66</v>
      </c>
      <c r="AC27">
        <v>6.05</v>
      </c>
      <c r="AD27">
        <v>6</v>
      </c>
      <c r="AE27">
        <v>6.4</v>
      </c>
      <c r="AF27">
        <v>6.1</v>
      </c>
      <c r="AG27">
        <v>6.55</v>
      </c>
      <c r="AH27">
        <v>6.3</v>
      </c>
      <c r="AI27">
        <v>6.75</v>
      </c>
      <c r="AK27" t="s">
        <v>42</v>
      </c>
      <c r="AL27">
        <v>4.75</v>
      </c>
      <c r="AM27">
        <v>5.05</v>
      </c>
      <c r="AN27">
        <v>5.45</v>
      </c>
      <c r="AO27">
        <v>5.75</v>
      </c>
      <c r="AP27">
        <v>5.5</v>
      </c>
      <c r="AQ27">
        <v>5</v>
      </c>
      <c r="AR27">
        <v>5.5</v>
      </c>
      <c r="AS27">
        <v>5.8</v>
      </c>
    </row>
    <row r="28" spans="7:45" hidden="1" x14ac:dyDescent="0.2">
      <c r="G28" t="s">
        <v>43</v>
      </c>
      <c r="H28">
        <v>4.75</v>
      </c>
      <c r="I28">
        <v>5.0999999999999996</v>
      </c>
      <c r="J28">
        <v>4.9000000000000004</v>
      </c>
      <c r="K28">
        <v>5.3</v>
      </c>
      <c r="L28">
        <v>5.0999999999999996</v>
      </c>
      <c r="M28">
        <v>5.5</v>
      </c>
      <c r="N28">
        <v>5.3</v>
      </c>
      <c r="O28">
        <v>5.7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4.5</v>
      </c>
      <c r="W28">
        <v>4.75</v>
      </c>
      <c r="X28">
        <v>4.45</v>
      </c>
      <c r="Y28">
        <v>4.7</v>
      </c>
      <c r="AA28" t="s">
        <v>43</v>
      </c>
      <c r="AB28">
        <v>5.45</v>
      </c>
      <c r="AC28">
        <v>5.85</v>
      </c>
      <c r="AD28">
        <v>5.8</v>
      </c>
      <c r="AE28">
        <v>6.25</v>
      </c>
      <c r="AF28">
        <v>5.9</v>
      </c>
      <c r="AG28">
        <v>6.4</v>
      </c>
      <c r="AH28">
        <v>6.1</v>
      </c>
      <c r="AI28">
        <v>6.55</v>
      </c>
      <c r="AK28" t="s">
        <v>43</v>
      </c>
      <c r="AL28">
        <v>4.6500000000000004</v>
      </c>
      <c r="AM28">
        <v>4.9000000000000004</v>
      </c>
      <c r="AN28">
        <v>5.3</v>
      </c>
      <c r="AO28">
        <v>5.6</v>
      </c>
      <c r="AP28">
        <v>5.35</v>
      </c>
      <c r="AQ28">
        <v>5.65</v>
      </c>
      <c r="AR28">
        <v>5.35</v>
      </c>
      <c r="AS28">
        <v>5.65</v>
      </c>
    </row>
    <row r="29" spans="7:45" hidden="1" x14ac:dyDescent="0.2">
      <c r="G29" t="s">
        <v>81</v>
      </c>
      <c r="H29">
        <v>4.5999999999999996</v>
      </c>
      <c r="I29">
        <v>4.95</v>
      </c>
      <c r="J29">
        <v>4.75</v>
      </c>
      <c r="K29">
        <v>5.15</v>
      </c>
      <c r="L29">
        <v>5</v>
      </c>
      <c r="M29">
        <v>5.35</v>
      </c>
      <c r="N29">
        <v>5.15</v>
      </c>
      <c r="O29">
        <v>5.55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4.4000000000000004</v>
      </c>
      <c r="W29">
        <v>4.6500000000000004</v>
      </c>
      <c r="X29">
        <v>4.3499999999999996</v>
      </c>
      <c r="Y29">
        <v>4.5999999999999996</v>
      </c>
      <c r="AA29" t="s">
        <v>81</v>
      </c>
      <c r="AB29">
        <v>5.3</v>
      </c>
      <c r="AC29">
        <v>5.7</v>
      </c>
      <c r="AD29">
        <v>5.6</v>
      </c>
      <c r="AE29">
        <v>6.05</v>
      </c>
      <c r="AF29">
        <v>5.75</v>
      </c>
      <c r="AG29">
        <v>6.2</v>
      </c>
      <c r="AH29">
        <v>5.9</v>
      </c>
      <c r="AI29">
        <v>6.4</v>
      </c>
      <c r="AK29" t="s">
        <v>81</v>
      </c>
      <c r="AL29">
        <v>4.55</v>
      </c>
      <c r="AM29">
        <v>4.9000000000000004</v>
      </c>
      <c r="AN29">
        <v>5.15</v>
      </c>
      <c r="AO29">
        <v>5.45</v>
      </c>
      <c r="AP29">
        <v>5.3</v>
      </c>
      <c r="AQ29">
        <v>5.55</v>
      </c>
      <c r="AR29">
        <v>5.25</v>
      </c>
      <c r="AS29">
        <v>5.5</v>
      </c>
    </row>
    <row r="30" spans="7:45" hidden="1" x14ac:dyDescent="0.2">
      <c r="G30" t="s">
        <v>44</v>
      </c>
      <c r="H30">
        <v>4.3499999999999996</v>
      </c>
      <c r="I30">
        <v>4.7</v>
      </c>
      <c r="J30">
        <v>4.5</v>
      </c>
      <c r="K30">
        <v>4.9000000000000004</v>
      </c>
      <c r="L30">
        <v>4.7</v>
      </c>
      <c r="M30">
        <v>5.0999999999999996</v>
      </c>
      <c r="N30">
        <v>4.8499999999999996</v>
      </c>
      <c r="O30">
        <v>5.3</v>
      </c>
      <c r="Q30" t="s">
        <v>44</v>
      </c>
      <c r="R30">
        <v>4.2</v>
      </c>
      <c r="S30">
        <v>4.4000000000000004</v>
      </c>
      <c r="T30">
        <v>4.2</v>
      </c>
      <c r="U30">
        <v>4.45</v>
      </c>
      <c r="V30">
        <v>4.2</v>
      </c>
      <c r="W30">
        <v>4.45</v>
      </c>
      <c r="X30">
        <v>4.2</v>
      </c>
      <c r="Y30">
        <v>4.45</v>
      </c>
      <c r="AA30" t="s">
        <v>44</v>
      </c>
      <c r="AB30">
        <v>5</v>
      </c>
      <c r="AC30">
        <v>5.4</v>
      </c>
      <c r="AD30">
        <v>5.35</v>
      </c>
      <c r="AE30">
        <v>5.75</v>
      </c>
      <c r="AF30">
        <v>5.5</v>
      </c>
      <c r="AG30">
        <v>5.9</v>
      </c>
      <c r="AH30">
        <v>5.55</v>
      </c>
      <c r="AI30">
        <v>6.1</v>
      </c>
      <c r="AK30" t="s">
        <v>44</v>
      </c>
      <c r="AL30">
        <v>4.4000000000000004</v>
      </c>
      <c r="AM30">
        <v>4.5999999999999996</v>
      </c>
      <c r="AN30">
        <v>4.95</v>
      </c>
      <c r="AO30">
        <v>5.25</v>
      </c>
      <c r="AP30">
        <v>5.05</v>
      </c>
      <c r="AQ30">
        <v>5.3</v>
      </c>
      <c r="AR30">
        <v>5.05</v>
      </c>
      <c r="AS30">
        <v>5.3</v>
      </c>
    </row>
    <row r="31" spans="7:45" hidden="1" x14ac:dyDescent="0.2">
      <c r="G31" t="s">
        <v>67</v>
      </c>
      <c r="H31">
        <v>4.0999999999999996</v>
      </c>
      <c r="I31">
        <v>4.5</v>
      </c>
      <c r="J31">
        <v>4.3</v>
      </c>
      <c r="K31">
        <v>4.7</v>
      </c>
      <c r="L31">
        <v>4.5</v>
      </c>
      <c r="M31">
        <v>4.9000000000000004</v>
      </c>
      <c r="N31">
        <v>4.6500000000000004</v>
      </c>
      <c r="O31">
        <v>5.05</v>
      </c>
      <c r="Q31" t="s">
        <v>67</v>
      </c>
      <c r="R31">
        <v>3.95</v>
      </c>
      <c r="S31">
        <v>3.95</v>
      </c>
      <c r="T31">
        <v>4.05</v>
      </c>
      <c r="U31">
        <v>4.2</v>
      </c>
      <c r="V31">
        <v>4</v>
      </c>
      <c r="W31">
        <v>4.3</v>
      </c>
      <c r="X31">
        <v>4.05</v>
      </c>
      <c r="Y31">
        <v>4.3</v>
      </c>
      <c r="AA31" t="s">
        <v>67</v>
      </c>
      <c r="AB31">
        <v>4.75</v>
      </c>
      <c r="AC31">
        <v>5.15</v>
      </c>
      <c r="AD31">
        <v>5.0999999999999996</v>
      </c>
      <c r="AE31">
        <v>5.55</v>
      </c>
      <c r="AF31">
        <v>5.2</v>
      </c>
      <c r="AG31">
        <v>5.7</v>
      </c>
      <c r="AH31">
        <v>5.35</v>
      </c>
      <c r="AI31">
        <v>5.85</v>
      </c>
      <c r="AK31" t="s">
        <v>67</v>
      </c>
      <c r="AL31">
        <v>4.2</v>
      </c>
      <c r="AM31">
        <v>4.45</v>
      </c>
      <c r="AN31">
        <v>4.75</v>
      </c>
      <c r="AO31">
        <v>5</v>
      </c>
      <c r="AP31">
        <v>4.8499999999999996</v>
      </c>
      <c r="AQ31">
        <v>5.0999999999999996</v>
      </c>
      <c r="AR31">
        <v>4.8499999999999996</v>
      </c>
      <c r="AS31">
        <v>5.0999999999999996</v>
      </c>
    </row>
    <row r="32" spans="7:45" hidden="1" x14ac:dyDescent="0.2">
      <c r="G32" t="s">
        <v>168</v>
      </c>
      <c r="H32">
        <v>5.15</v>
      </c>
      <c r="I32">
        <v>5.3</v>
      </c>
      <c r="J32">
        <v>5.3</v>
      </c>
      <c r="K32">
        <v>5.5</v>
      </c>
      <c r="L32">
        <v>5.5</v>
      </c>
      <c r="M32">
        <v>5.7</v>
      </c>
      <c r="N32">
        <v>5.65</v>
      </c>
      <c r="O32">
        <v>5.9</v>
      </c>
      <c r="Q32" t="s">
        <v>168</v>
      </c>
      <c r="R32">
        <v>4.6500000000000004</v>
      </c>
      <c r="S32">
        <v>4.9000000000000004</v>
      </c>
      <c r="T32">
        <v>4.6500000000000004</v>
      </c>
      <c r="U32">
        <v>4.9000000000000004</v>
      </c>
      <c r="V32">
        <v>4.5999999999999996</v>
      </c>
      <c r="W32">
        <v>4.8499999999999996</v>
      </c>
      <c r="X32">
        <v>4.55</v>
      </c>
      <c r="Y32">
        <v>4.8</v>
      </c>
      <c r="AA32" t="s">
        <v>168</v>
      </c>
      <c r="AB32">
        <v>5.8</v>
      </c>
      <c r="AC32">
        <v>6.1</v>
      </c>
      <c r="AD32">
        <v>6.2</v>
      </c>
      <c r="AE32">
        <v>6.45</v>
      </c>
      <c r="AF32">
        <v>6.35</v>
      </c>
      <c r="AG32">
        <v>6.6</v>
      </c>
      <c r="AH32">
        <v>6.5</v>
      </c>
      <c r="AI32">
        <v>6.8</v>
      </c>
      <c r="AK32" t="s">
        <v>168</v>
      </c>
      <c r="AL32">
        <v>4.75</v>
      </c>
      <c r="AM32">
        <v>5.05</v>
      </c>
      <c r="AN32">
        <v>5.45</v>
      </c>
      <c r="AO32">
        <v>5.75</v>
      </c>
      <c r="AP32">
        <v>5.5</v>
      </c>
      <c r="AQ32">
        <v>5.8</v>
      </c>
      <c r="AR32">
        <v>5.5</v>
      </c>
      <c r="AS32">
        <v>5.75</v>
      </c>
    </row>
    <row r="33" spans="5:45" hidden="1" x14ac:dyDescent="0.2">
      <c r="G33" t="s">
        <v>50</v>
      </c>
      <c r="H33">
        <v>4.9000000000000004</v>
      </c>
      <c r="I33">
        <v>5.0999999999999996</v>
      </c>
      <c r="J33">
        <v>5.0999999999999996</v>
      </c>
      <c r="K33">
        <v>5.3</v>
      </c>
      <c r="L33">
        <v>5.3</v>
      </c>
      <c r="M33">
        <v>5.5</v>
      </c>
      <c r="N33">
        <v>5.45</v>
      </c>
      <c r="O33">
        <v>5.7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4.5</v>
      </c>
      <c r="W33">
        <v>4.75</v>
      </c>
      <c r="X33">
        <v>4.45</v>
      </c>
      <c r="Y33">
        <v>4.7</v>
      </c>
      <c r="AA33" t="s">
        <v>50</v>
      </c>
      <c r="AB33">
        <v>5.6</v>
      </c>
      <c r="AC33">
        <v>5.9</v>
      </c>
      <c r="AD33">
        <v>6</v>
      </c>
      <c r="AE33">
        <v>6.3</v>
      </c>
      <c r="AF33">
        <v>6.1</v>
      </c>
      <c r="AG33">
        <v>6.45</v>
      </c>
      <c r="AH33">
        <v>6.3</v>
      </c>
      <c r="AI33">
        <v>6.55</v>
      </c>
      <c r="AK33" t="s">
        <v>50</v>
      </c>
      <c r="AL33">
        <v>4.6500000000000004</v>
      </c>
      <c r="AM33">
        <v>4.9000000000000004</v>
      </c>
      <c r="AN33">
        <v>5.3</v>
      </c>
      <c r="AO33">
        <v>5.6</v>
      </c>
      <c r="AP33">
        <v>5.35</v>
      </c>
      <c r="AQ33">
        <v>5.65</v>
      </c>
      <c r="AR33">
        <v>5.35</v>
      </c>
      <c r="AS33">
        <v>5.65</v>
      </c>
    </row>
    <row r="34" spans="5:45" hidden="1" x14ac:dyDescent="0.2">
      <c r="G34" t="s">
        <v>76</v>
      </c>
      <c r="H34">
        <v>4.75</v>
      </c>
      <c r="I34">
        <v>4.95</v>
      </c>
      <c r="J34">
        <v>4.95</v>
      </c>
      <c r="K34">
        <v>5.15</v>
      </c>
      <c r="L34">
        <v>5.0999999999999996</v>
      </c>
      <c r="M34">
        <v>5.35</v>
      </c>
      <c r="N34">
        <v>5.3</v>
      </c>
      <c r="O34">
        <v>5.6</v>
      </c>
      <c r="Q34" t="s">
        <v>76</v>
      </c>
      <c r="R34">
        <v>4.4000000000000004</v>
      </c>
      <c r="S34">
        <v>4.6500000000000004</v>
      </c>
      <c r="T34">
        <v>4.4000000000000004</v>
      </c>
      <c r="U34">
        <v>4.6500000000000004</v>
      </c>
      <c r="V34">
        <v>4.4000000000000004</v>
      </c>
      <c r="W34">
        <v>4.6500000000000004</v>
      </c>
      <c r="X34">
        <v>4.3499999999999996</v>
      </c>
      <c r="Y34">
        <v>4.5999999999999996</v>
      </c>
      <c r="AA34" t="s">
        <v>76</v>
      </c>
      <c r="AB34">
        <v>5.45</v>
      </c>
      <c r="AC34">
        <v>5.7</v>
      </c>
      <c r="AD34">
        <v>5.8</v>
      </c>
      <c r="AE34">
        <v>6.1</v>
      </c>
      <c r="AF34">
        <v>5.9</v>
      </c>
      <c r="AG34">
        <v>6.25</v>
      </c>
      <c r="AH34">
        <v>6.1</v>
      </c>
      <c r="AI34">
        <v>6.4</v>
      </c>
      <c r="AK34" t="s">
        <v>76</v>
      </c>
      <c r="AL34">
        <v>4.5999999999999996</v>
      </c>
      <c r="AM34">
        <v>4.8</v>
      </c>
      <c r="AN34">
        <v>5.2</v>
      </c>
      <c r="AO34">
        <v>5.15</v>
      </c>
      <c r="AP34">
        <v>5.25</v>
      </c>
      <c r="AQ34">
        <v>5.5</v>
      </c>
      <c r="AR34">
        <v>5.25</v>
      </c>
      <c r="AS34">
        <v>5.5</v>
      </c>
    </row>
    <row r="35" spans="5:45" hidden="1" x14ac:dyDescent="0.2">
      <c r="G35" t="s">
        <v>77</v>
      </c>
      <c r="H35">
        <v>4.5999999999999996</v>
      </c>
      <c r="I35">
        <v>4.8</v>
      </c>
      <c r="J35">
        <v>4.8</v>
      </c>
      <c r="K35">
        <v>5.05</v>
      </c>
      <c r="L35">
        <v>5</v>
      </c>
      <c r="M35">
        <v>5.25</v>
      </c>
      <c r="N35">
        <v>5.15</v>
      </c>
      <c r="O35">
        <v>5.45</v>
      </c>
      <c r="Q35" t="s">
        <v>77</v>
      </c>
      <c r="R35">
        <v>4.3</v>
      </c>
      <c r="S35">
        <v>4.5</v>
      </c>
      <c r="T35" t="s">
        <v>85</v>
      </c>
      <c r="U35">
        <v>4.55</v>
      </c>
      <c r="V35">
        <v>4.3</v>
      </c>
      <c r="W35">
        <v>4.55</v>
      </c>
      <c r="X35">
        <v>4.3</v>
      </c>
      <c r="Y35">
        <v>4.5</v>
      </c>
      <c r="AA35" t="s">
        <v>77</v>
      </c>
      <c r="AB35">
        <v>5.3</v>
      </c>
      <c r="AC35">
        <v>5.55</v>
      </c>
      <c r="AD35">
        <v>5.6</v>
      </c>
      <c r="AE35">
        <v>5.9</v>
      </c>
      <c r="AF35">
        <v>5.8</v>
      </c>
      <c r="AG35">
        <v>6.1</v>
      </c>
      <c r="AH35">
        <v>5.95</v>
      </c>
      <c r="AI35">
        <v>6.25</v>
      </c>
      <c r="AK35" t="s">
        <v>77</v>
      </c>
      <c r="AL35">
        <v>4.5</v>
      </c>
      <c r="AM35">
        <v>4.7</v>
      </c>
      <c r="AN35">
        <v>5.05</v>
      </c>
      <c r="AO35">
        <v>5.35</v>
      </c>
      <c r="AP35">
        <v>5.15</v>
      </c>
      <c r="AQ35">
        <v>5.4</v>
      </c>
      <c r="AR35">
        <v>5.15</v>
      </c>
      <c r="AS35">
        <v>5.4</v>
      </c>
    </row>
    <row r="36" spans="5:45" hidden="1" x14ac:dyDescent="0.2">
      <c r="G36" t="s">
        <v>46</v>
      </c>
      <c r="H36">
        <v>4.5</v>
      </c>
      <c r="I36">
        <v>4.7</v>
      </c>
      <c r="J36">
        <v>4.6500000000000004</v>
      </c>
      <c r="K36">
        <v>4.9000000000000004</v>
      </c>
      <c r="L36">
        <v>4.8499999999999996</v>
      </c>
      <c r="M36">
        <v>5.0999999999999996</v>
      </c>
      <c r="N36">
        <v>5</v>
      </c>
      <c r="O36">
        <v>5.3</v>
      </c>
      <c r="Q36" t="s">
        <v>46</v>
      </c>
      <c r="R36">
        <v>4.2</v>
      </c>
      <c r="S36">
        <v>4.3</v>
      </c>
      <c r="T36">
        <v>4.2</v>
      </c>
      <c r="U36">
        <v>4.45</v>
      </c>
      <c r="V36">
        <v>4.2</v>
      </c>
      <c r="W36">
        <v>4.45</v>
      </c>
      <c r="X36">
        <v>4.2</v>
      </c>
      <c r="Y36">
        <v>4.45</v>
      </c>
      <c r="AA36" t="s">
        <v>46</v>
      </c>
      <c r="AB36">
        <v>5.15</v>
      </c>
      <c r="AC36">
        <v>5.4</v>
      </c>
      <c r="AD36">
        <v>5.5</v>
      </c>
      <c r="AE36">
        <v>5.75</v>
      </c>
      <c r="AF36">
        <v>5.6</v>
      </c>
      <c r="AG36">
        <v>5.9</v>
      </c>
      <c r="AH36">
        <v>5.75</v>
      </c>
      <c r="AI36">
        <v>6.1</v>
      </c>
      <c r="AK36" t="s">
        <v>46</v>
      </c>
      <c r="AL36">
        <v>4.4000000000000004</v>
      </c>
      <c r="AM36">
        <v>4.5999999999999996</v>
      </c>
      <c r="AN36">
        <v>4.95</v>
      </c>
      <c r="AO36">
        <v>5.2</v>
      </c>
      <c r="AP36">
        <v>5.05</v>
      </c>
      <c r="AQ36">
        <v>5.3</v>
      </c>
      <c r="AR36">
        <v>5.05</v>
      </c>
      <c r="AS36">
        <v>5.3</v>
      </c>
    </row>
    <row r="37" spans="5:45" hidden="1" x14ac:dyDescent="0.2">
      <c r="G37" t="s">
        <v>82</v>
      </c>
      <c r="H37">
        <v>4.3499999999999996</v>
      </c>
      <c r="I37">
        <v>4.5999999999999996</v>
      </c>
      <c r="J37">
        <v>4.5</v>
      </c>
      <c r="K37">
        <v>4.8</v>
      </c>
      <c r="L37">
        <v>4.7</v>
      </c>
      <c r="M37">
        <v>5</v>
      </c>
      <c r="N37">
        <v>4.9000000000000004</v>
      </c>
      <c r="O37">
        <v>5.2</v>
      </c>
      <c r="Q37" t="s">
        <v>82</v>
      </c>
      <c r="R37">
        <v>4.05</v>
      </c>
      <c r="S37">
        <v>4.05</v>
      </c>
      <c r="T37">
        <v>4.0999999999999996</v>
      </c>
      <c r="U37">
        <v>4.3499999999999996</v>
      </c>
      <c r="V37">
        <v>4.1500000000000004</v>
      </c>
      <c r="W37">
        <v>4.3499999999999996</v>
      </c>
      <c r="X37">
        <v>4.1500000000000004</v>
      </c>
      <c r="Y37">
        <v>4.3499999999999996</v>
      </c>
      <c r="AA37" t="s">
        <v>82</v>
      </c>
      <c r="AB37">
        <v>5</v>
      </c>
      <c r="AC37">
        <v>5.3</v>
      </c>
      <c r="AD37">
        <f t="shared" ref="AD37" si="0">+(AD36+AD38)/2</f>
        <v>5.3</v>
      </c>
      <c r="AE37">
        <v>5.65</v>
      </c>
      <c r="AF37">
        <v>5.45</v>
      </c>
      <c r="AG37">
        <v>5.45</v>
      </c>
      <c r="AH37">
        <v>5.6</v>
      </c>
      <c r="AI37">
        <v>6</v>
      </c>
      <c r="AK37" t="s">
        <v>82</v>
      </c>
      <c r="AL37">
        <v>4.3</v>
      </c>
      <c r="AM37">
        <v>4.55</v>
      </c>
      <c r="AN37">
        <v>4.8499999999999996</v>
      </c>
      <c r="AO37">
        <v>5.15</v>
      </c>
      <c r="AP37">
        <v>4.95</v>
      </c>
      <c r="AQ37">
        <v>5.2</v>
      </c>
      <c r="AR37">
        <v>4.95</v>
      </c>
      <c r="AS37">
        <v>5.2</v>
      </c>
    </row>
    <row r="38" spans="5:45" hidden="1" x14ac:dyDescent="0.2">
      <c r="G38" t="s">
        <v>45</v>
      </c>
      <c r="H38">
        <v>4.0999999999999996</v>
      </c>
      <c r="I38">
        <v>4.4000000000000004</v>
      </c>
      <c r="J38">
        <v>4.3</v>
      </c>
      <c r="K38">
        <v>4.5999999999999996</v>
      </c>
      <c r="L38">
        <v>4.5</v>
      </c>
      <c r="M38">
        <v>4.8</v>
      </c>
      <c r="N38">
        <v>4.6500000000000004</v>
      </c>
      <c r="O38">
        <v>4.95</v>
      </c>
      <c r="Q38" t="s">
        <v>45</v>
      </c>
      <c r="R38">
        <v>3.65</v>
      </c>
      <c r="S38">
        <v>3.65</v>
      </c>
      <c r="T38">
        <v>3.95</v>
      </c>
      <c r="U38">
        <v>3.95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4.75</v>
      </c>
      <c r="AC38">
        <v>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4.1500000000000004</v>
      </c>
      <c r="AM38">
        <v>4.25</v>
      </c>
      <c r="AN38">
        <v>4.6500000000000004</v>
      </c>
      <c r="AO38">
        <v>4.95</v>
      </c>
      <c r="AP38">
        <v>4.8</v>
      </c>
      <c r="AQ38">
        <v>5.05</v>
      </c>
      <c r="AR38">
        <v>4.8</v>
      </c>
      <c r="AS38">
        <v>5.05</v>
      </c>
    </row>
    <row r="39" spans="5:45" hidden="1" x14ac:dyDescent="0.2">
      <c r="G39" t="s">
        <v>68</v>
      </c>
      <c r="H39">
        <v>3.95</v>
      </c>
      <c r="I39">
        <v>4.25</v>
      </c>
      <c r="J39">
        <v>4.1500000000000004</v>
      </c>
      <c r="K39">
        <v>4.4000000000000004</v>
      </c>
      <c r="L39">
        <v>4.3</v>
      </c>
      <c r="M39">
        <v>4.55</v>
      </c>
      <c r="N39">
        <v>4.45</v>
      </c>
      <c r="O39">
        <v>4.75</v>
      </c>
      <c r="Q39" t="s">
        <v>68</v>
      </c>
      <c r="R39">
        <v>3.35</v>
      </c>
      <c r="S39">
        <v>3.35</v>
      </c>
      <c r="T39">
        <v>3.6</v>
      </c>
      <c r="U39">
        <v>3.6</v>
      </c>
      <c r="V39">
        <v>3.95</v>
      </c>
      <c r="W39">
        <v>3.95</v>
      </c>
      <c r="X39">
        <v>3.9</v>
      </c>
      <c r="Y39">
        <v>3.9</v>
      </c>
      <c r="AA39" t="s">
        <v>68</v>
      </c>
      <c r="AB39">
        <v>4.55</v>
      </c>
      <c r="AC39">
        <v>4.8</v>
      </c>
      <c r="AD39">
        <v>4.8499999999999996</v>
      </c>
      <c r="AE39">
        <v>5.25</v>
      </c>
      <c r="AF39">
        <v>5</v>
      </c>
      <c r="AG39">
        <v>5.4</v>
      </c>
      <c r="AH39">
        <v>5.2</v>
      </c>
      <c r="AI39">
        <v>5.55</v>
      </c>
      <c r="AK39" t="s">
        <v>68</v>
      </c>
      <c r="AL39">
        <v>3.9</v>
      </c>
      <c r="AM39">
        <v>3.9</v>
      </c>
      <c r="AN39">
        <v>4.5</v>
      </c>
      <c r="AO39">
        <v>4.75</v>
      </c>
      <c r="AP39">
        <v>4.6500000000000004</v>
      </c>
      <c r="AQ39">
        <v>4.9000000000000004</v>
      </c>
      <c r="AR39">
        <v>4.6500000000000004</v>
      </c>
      <c r="AS39">
        <v>4.9000000000000004</v>
      </c>
    </row>
    <row r="40" spans="5:45" hidden="1" x14ac:dyDescent="0.2">
      <c r="G40" t="s">
        <v>71</v>
      </c>
      <c r="H40" s="142">
        <v>205</v>
      </c>
      <c r="I40" s="142"/>
      <c r="J40" s="142">
        <v>229</v>
      </c>
      <c r="K40" s="142"/>
      <c r="L40" s="142">
        <v>251</v>
      </c>
      <c r="M40" s="142"/>
      <c r="N40" s="142">
        <v>274</v>
      </c>
      <c r="O40" s="142"/>
      <c r="R40" s="142">
        <v>194</v>
      </c>
      <c r="S40" s="142"/>
      <c r="T40" s="142">
        <v>217</v>
      </c>
      <c r="U40" s="142"/>
      <c r="V40" s="142">
        <v>240</v>
      </c>
      <c r="W40" s="142"/>
      <c r="X40" s="142">
        <v>263</v>
      </c>
      <c r="Y40" s="142"/>
      <c r="AB40" s="142">
        <v>238</v>
      </c>
      <c r="AC40" s="142"/>
      <c r="AD40" s="142">
        <v>259</v>
      </c>
      <c r="AE40" s="142"/>
      <c r="AF40" s="142">
        <v>282</v>
      </c>
      <c r="AG40" s="142"/>
      <c r="AH40" s="142">
        <v>305</v>
      </c>
      <c r="AI40" s="142"/>
      <c r="AL40" s="142">
        <v>225</v>
      </c>
      <c r="AM40" s="142"/>
      <c r="AN40" s="142">
        <v>259</v>
      </c>
      <c r="AO40" s="142"/>
      <c r="AP40" s="142">
        <v>282</v>
      </c>
      <c r="AQ40" s="142"/>
      <c r="AR40" s="142">
        <v>305</v>
      </c>
      <c r="AS40" s="142"/>
    </row>
    <row r="41" spans="5:45" hidden="1" x14ac:dyDescent="0.2">
      <c r="G41" t="s">
        <v>72</v>
      </c>
      <c r="H41" s="142">
        <v>71.5</v>
      </c>
      <c r="I41" s="142"/>
      <c r="J41" s="142">
        <v>81.5</v>
      </c>
      <c r="K41" s="142"/>
      <c r="L41" s="142">
        <v>91.5</v>
      </c>
      <c r="M41" s="142"/>
      <c r="N41" s="142">
        <v>101.5</v>
      </c>
      <c r="O41" s="142"/>
      <c r="R41" s="142">
        <v>68.5</v>
      </c>
      <c r="S41" s="142"/>
      <c r="T41" s="142">
        <v>78.5</v>
      </c>
      <c r="U41" s="142"/>
      <c r="V41" s="142">
        <v>88.5</v>
      </c>
      <c r="W41" s="142"/>
      <c r="X41" s="142">
        <v>98.5</v>
      </c>
      <c r="Y41" s="142"/>
      <c r="AB41" s="142">
        <v>82.5</v>
      </c>
      <c r="AC41" s="142"/>
      <c r="AD41" s="142">
        <v>88</v>
      </c>
      <c r="AE41" s="142"/>
      <c r="AF41" s="142">
        <v>97</v>
      </c>
      <c r="AG41" s="142"/>
      <c r="AH41" s="142">
        <v>107</v>
      </c>
      <c r="AI41" s="142"/>
      <c r="AL41" s="142">
        <v>82</v>
      </c>
      <c r="AM41" s="142"/>
      <c r="AN41" s="142">
        <v>88</v>
      </c>
      <c r="AO41" s="142"/>
      <c r="AP41" s="142">
        <v>97</v>
      </c>
      <c r="AQ41" s="142"/>
      <c r="AR41" s="142">
        <v>107</v>
      </c>
      <c r="AS41" s="142"/>
    </row>
    <row r="42" spans="5:4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5.2</v>
      </c>
      <c r="I42" s="113">
        <f>+VLOOKUP($G$42,$G$16:$O$39,3,FALSE)</f>
        <v>5.4</v>
      </c>
      <c r="J42" s="113">
        <f>+VLOOKUP($G$42,$G$16:$O$39,4,FALSE)</f>
        <v>5.4</v>
      </c>
      <c r="K42" s="113">
        <f>+VLOOKUP($G$42,$G$16:$O$39,5,FALSE)</f>
        <v>5.65</v>
      </c>
      <c r="L42" s="113">
        <f>+VLOOKUP($G$42,$G$16:$O$39,6,FALSE)</f>
        <v>5.7</v>
      </c>
      <c r="M42" s="113">
        <f>+VLOOKUP($G$42,$G$16:$O$39,7,FALSE)</f>
        <v>5.85</v>
      </c>
      <c r="N42" s="113">
        <f>+VLOOKUP($G$42,$G$16:$O$39,8,FALSE)</f>
        <v>5.85</v>
      </c>
      <c r="O42" s="113">
        <f>+VLOOKUP($G$42,$G$16:$O$39,9,FALSE)</f>
        <v>6.05</v>
      </c>
      <c r="Q42" t="str">
        <f>+DIM!$AK$20&amp;"+"&amp;DIM!$S$14</f>
        <v>251+150</v>
      </c>
      <c r="R42" s="113">
        <f>+VLOOKUP($Q$42,$Q$14:$Y$39,2,FALSE)</f>
        <v>4.8</v>
      </c>
      <c r="S42" s="113">
        <f>+VLOOKUP($Q$42,$Q$14:$Y$39,3,FALSE)</f>
        <v>4.5999999999999996</v>
      </c>
      <c r="T42" s="113">
        <f>+VLOOKUP($Q$42,$Q$14:$Y$39,4,FALSE)</f>
        <v>4.75</v>
      </c>
      <c r="U42" s="113">
        <f>+VLOOKUP($Q$42,$Q$14:$Y$39,5,FALSE)</f>
        <v>5</v>
      </c>
      <c r="V42" s="113">
        <f>+VLOOKUP($Q$42,$Q$14:$Y$39,6,FALSE)</f>
        <v>4.7</v>
      </c>
      <c r="W42" s="113">
        <f>+VLOOKUP($Q$42,$Q$14:$Y$39,7,FALSE)</f>
        <v>4.95</v>
      </c>
      <c r="X42" s="113">
        <f>+VLOOKUP($Q$42,$Q$14:$Y$39,8,FALSE)</f>
        <v>4.6500000000000004</v>
      </c>
      <c r="Y42" s="113">
        <f>+VLOOKUP($Q$42,$Q$14:$Y$39,9,FALSE)</f>
        <v>4.8</v>
      </c>
      <c r="AA42" t="str">
        <f>+DIM!$AK$20&amp;"+"&amp;DIM!$S$14</f>
        <v>251+150</v>
      </c>
      <c r="AB42" s="113">
        <f>+VLOOKUP($AA$42,$AA$16:$AI$41,2,FALSE)</f>
        <v>5.7</v>
      </c>
      <c r="AC42" s="113">
        <f>+VLOOKUP($AA$42,$AA$16:$AI$41,3,FALSE)</f>
        <v>6.25</v>
      </c>
      <c r="AD42" s="113">
        <f>+VLOOKUP($AA$42,$AA$16:$AI$41,4,FALSE)</f>
        <v>6.05</v>
      </c>
      <c r="AE42" s="113">
        <f>+VLOOKUP($AA$42,$AA$16:$AI$41,5,FALSE)</f>
        <v>6.65</v>
      </c>
      <c r="AF42" s="113">
        <f>+VLOOKUP($AA$42,$AA$16:$AI$41,6,FALSE)</f>
        <v>6.15</v>
      </c>
      <c r="AG42" s="113">
        <f>+VLOOKUP($AA$42,$AA$16:$AI$41,7,FALSE)</f>
        <v>6.8</v>
      </c>
      <c r="AH42" s="113">
        <f>+VLOOKUP($AA$42,$AA$16:$AI$41,8,FALSE)</f>
        <v>6.35</v>
      </c>
      <c r="AI42" s="113">
        <f>+VLOOKUP($AA$42,$AA$16:$AI$41,9,FALSE)</f>
        <v>6.95</v>
      </c>
      <c r="AK42" t="str">
        <f>+DIM!$AK$20&amp;"+"&amp;DIM!$S$14</f>
        <v>251+150</v>
      </c>
      <c r="AL42" s="113">
        <f>+VLOOKUP($AK$42,$AK$16:$AS$41,2,FALSE)</f>
        <v>5.05</v>
      </c>
      <c r="AM42" s="113">
        <f>+VLOOKUP($AK$42,$AK$16:$AS$41,3,FALSE)</f>
        <v>5.05</v>
      </c>
      <c r="AN42" s="113">
        <f>+VLOOKUP($AK$42,$AK$16:$AS$41,4,FALSE)</f>
        <v>5.6</v>
      </c>
      <c r="AO42" s="113">
        <f>+VLOOKUP($AK$42,$AK$16:$AS$41,5,FALSE)</f>
        <v>5.9</v>
      </c>
      <c r="AP42" s="113">
        <f>+VLOOKUP($AK$42,$AK$16:$AS$41,6,FALSE)</f>
        <v>5.6</v>
      </c>
      <c r="AQ42" s="113">
        <f>+VLOOKUP($AK$42,$AK$16:$AS$41,7,FALSE)</f>
        <v>5.95</v>
      </c>
      <c r="AR42" s="113">
        <f>+VLOOKUP($AK$42,$AK$16:$AS$41,8,FALSE)</f>
        <v>5.55</v>
      </c>
      <c r="AS42" s="113">
        <f>+VLOOKUP($AK$42,$AK$16:$AS$41,9,FALSE)</f>
        <v>5.8</v>
      </c>
    </row>
    <row r="43" spans="5:45" hidden="1" x14ac:dyDescent="0.2">
      <c r="F43" t="s">
        <v>47</v>
      </c>
      <c r="G43" t="str">
        <f>+DIM!AD15</f>
        <v>AL</v>
      </c>
      <c r="H43" s="141">
        <f>+IF(DIM!$AD$15=H15,H42,I42)</f>
        <v>5.2</v>
      </c>
      <c r="I43" s="141"/>
      <c r="J43" s="141">
        <f>+IF(DIM!$AD$15=J15,J42,K42)</f>
        <v>5.4</v>
      </c>
      <c r="K43" s="141"/>
      <c r="L43" s="141">
        <f>+IF(DIM!$AD$15=L15,L42,M42)</f>
        <v>5.7</v>
      </c>
      <c r="M43" s="141"/>
      <c r="N43" s="141">
        <f>+IF(DIM!$AD$15=N15,N42,O42)</f>
        <v>5.85</v>
      </c>
      <c r="O43" s="141"/>
      <c r="Q43" t="str">
        <f>+DIM!AD15</f>
        <v>AL</v>
      </c>
      <c r="R43" s="143">
        <f>+IF(DIM!$AD$15=plastivs!$H$15,plastivs!R42,plastivs!S42)</f>
        <v>4.8</v>
      </c>
      <c r="S43" s="144"/>
      <c r="T43" s="143">
        <f>+IF(DIM!$AD$15=plastivs!$H$15,plastivs!T42,plastivs!U42)</f>
        <v>4.75</v>
      </c>
      <c r="U43" s="144"/>
      <c r="V43" s="143">
        <f>+IF(DIM!$AD$15=plastivs!$H$15,plastivs!V42,plastivs!W42)</f>
        <v>4.7</v>
      </c>
      <c r="W43" s="144"/>
      <c r="X43" s="143">
        <f>+IF(DIM!$AD$15=plastivs!$H$15,plastivs!X42,plastivs!Y42)</f>
        <v>4.6500000000000004</v>
      </c>
      <c r="Y43" s="144"/>
      <c r="AA43" t="str">
        <f>+DIM!AD15</f>
        <v>AL</v>
      </c>
      <c r="AB43" s="143">
        <f>+IF(DIM!$AD$15=plastivs!$H$15,plastivs!AB42,plastivs!AC42)</f>
        <v>5.7</v>
      </c>
      <c r="AC43" s="144"/>
      <c r="AD43" s="143">
        <f>+IF(DIM!$AD$15=plastivs!$H$15,plastivs!AD42,plastivs!AE42)</f>
        <v>6.05</v>
      </c>
      <c r="AE43" s="144"/>
      <c r="AF43" s="143">
        <f>+IF(DIM!$AD$15=plastivs!$H$15,plastivs!AF42,plastivs!AG42)</f>
        <v>6.15</v>
      </c>
      <c r="AG43" s="144"/>
      <c r="AH43" s="143">
        <f>+IF(DIM!$AD$15=plastivs!$H$15,plastivs!AH42,plastivs!AI42)</f>
        <v>6.35</v>
      </c>
      <c r="AI43" s="144"/>
      <c r="AK43" t="str">
        <f>+DIM!AD15</f>
        <v>AL</v>
      </c>
      <c r="AL43" s="143">
        <f>+IF(DIM!$AD$15=plastivs!$H$15,plastivs!AL42,plastivs!AM42)</f>
        <v>5.05</v>
      </c>
      <c r="AM43" s="144"/>
      <c r="AN43" s="143">
        <f>+IF(DIM!$AD$15=plastivs!$H$15,plastivs!AN42,plastivs!AO42)</f>
        <v>5.6</v>
      </c>
      <c r="AO43" s="144"/>
      <c r="AP43" s="143">
        <f>+IF(DIM!$AD$15=plastivs!$H$15,plastivs!AP42,plastivs!AQ42)</f>
        <v>5.6</v>
      </c>
      <c r="AQ43" s="144"/>
      <c r="AR43" s="143">
        <f>+IF(DIM!$AD$15=plastivs!$H$15,plastivs!AR42,plastivs!AS42)</f>
        <v>5.55</v>
      </c>
      <c r="AS43" s="144"/>
    </row>
    <row r="44" spans="5:45" hidden="1" x14ac:dyDescent="0.2">
      <c r="F44" t="s">
        <v>48</v>
      </c>
      <c r="G44" s="114">
        <f>+DIM!S31</f>
        <v>5</v>
      </c>
      <c r="K44" s="115">
        <f>+HLOOKUP(G44,H14:O43,30,FALSE)</f>
        <v>5.2</v>
      </c>
      <c r="Q44" s="114">
        <f>+DIM!S31</f>
        <v>5</v>
      </c>
      <c r="U44" s="115">
        <f>+HLOOKUP(Q44,R14:Y43,30,FALSE)</f>
        <v>4.8</v>
      </c>
      <c r="AA44" s="114">
        <f>+DIM!S31</f>
        <v>5</v>
      </c>
      <c r="AE44" s="115">
        <f>+HLOOKUP(AA44,AB14:AI43,30,FALSE)</f>
        <v>5.7</v>
      </c>
      <c r="AK44" s="114">
        <f>+AA44</f>
        <v>5</v>
      </c>
      <c r="AO44" s="115">
        <f>+HLOOKUP(AK44,AL14:AS43,30,FALSE)</f>
        <v>5.05</v>
      </c>
    </row>
    <row r="45" spans="5:45" hidden="1" x14ac:dyDescent="0.2">
      <c r="E45">
        <f>+DIM!Q31</f>
        <v>12</v>
      </c>
      <c r="F45" t="s">
        <v>65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</row>
    <row r="46" spans="5:45" hidden="1" x14ac:dyDescent="0.2">
      <c r="F46" t="s">
        <v>66</v>
      </c>
      <c r="G46" t="str">
        <f>+DIM!S19</f>
        <v>avec etai</v>
      </c>
      <c r="K46" s="111">
        <f>+HLOOKUP(G44,H14:O40,27,FALSE)</f>
        <v>205</v>
      </c>
      <c r="U46" s="111">
        <f>+HLOOKUP(Q44,R14:Y40,27,FALSE)</f>
        <v>194</v>
      </c>
      <c r="AE46" s="111">
        <f>+HLOOKUP(AA44,AB14:AI40,27,FALSE)</f>
        <v>238</v>
      </c>
      <c r="AO46" s="111">
        <f>+HLOOKUP(AK44,AL14:AS40,27,FALSE)</f>
        <v>225</v>
      </c>
    </row>
    <row r="47" spans="5:45" hidden="1" x14ac:dyDescent="0.2">
      <c r="F47">
        <v>12</v>
      </c>
      <c r="G47">
        <f>+IF($G$46="avec etai",K44,U44)</f>
        <v>5.2</v>
      </c>
      <c r="H47">
        <f>+IF($G$46="avec etai",K46,U46)</f>
        <v>205</v>
      </c>
      <c r="I47">
        <f>+IF($G$46="avec etai",K47,U47)</f>
        <v>71.5</v>
      </c>
      <c r="K47" s="111">
        <f>+HLOOKUP(G44,H14:O41,28,FALSE)</f>
        <v>71.5</v>
      </c>
      <c r="U47" s="111">
        <f>+HLOOKUP(Q44,R14:Y41,28,FALSE)</f>
        <v>68.5</v>
      </c>
      <c r="AE47" s="111">
        <f>+HLOOKUP(AA44,AB14:AI41,28,FALSE)</f>
        <v>82.5</v>
      </c>
      <c r="AO47" s="111">
        <f>+HLOOKUP(AK44,AL14:AS41,28,FALSE)</f>
        <v>82</v>
      </c>
    </row>
    <row r="48" spans="5:45" hidden="1" x14ac:dyDescent="0.2">
      <c r="F48">
        <v>15</v>
      </c>
      <c r="G48">
        <f>+IF($G$46="avec etai",AE44,AO44)</f>
        <v>5.7</v>
      </c>
      <c r="H48">
        <f>+IF($G$46="avec etai",AE46,AO46)</f>
        <v>238</v>
      </c>
      <c r="I48">
        <f>+IF($G$46="avec etai",AE47,AO47)</f>
        <v>82.5</v>
      </c>
    </row>
    <row r="49" spans="5:65" ht="19.5" hidden="1" x14ac:dyDescent="0.35">
      <c r="F49">
        <v>20</v>
      </c>
      <c r="G49" t="s">
        <v>101</v>
      </c>
      <c r="K49" s="110">
        <v>12</v>
      </c>
      <c r="U49" s="110">
        <v>12</v>
      </c>
      <c r="AE49" s="110">
        <v>15</v>
      </c>
      <c r="AO49" s="110">
        <v>15</v>
      </c>
    </row>
    <row r="50" spans="5:65" hidden="1" x14ac:dyDescent="0.2">
      <c r="E50" t="s">
        <v>70</v>
      </c>
      <c r="F50" t="s">
        <v>74</v>
      </c>
      <c r="G50">
        <f>IF($E$45&gt;15,"--",+VLOOKUP(DIM!Q31,plastivs!F47:I49,2,FALSE))</f>
        <v>5.2</v>
      </c>
      <c r="K50" s="111" t="s">
        <v>78</v>
      </c>
      <c r="U50" s="111" t="s">
        <v>83</v>
      </c>
      <c r="AE50" s="111" t="s">
        <v>84</v>
      </c>
      <c r="AO50" s="111" t="s">
        <v>79</v>
      </c>
    </row>
    <row r="51" spans="5:65" hidden="1" x14ac:dyDescent="0.2">
      <c r="F51" t="s">
        <v>75</v>
      </c>
      <c r="G51">
        <f>IF($E$45&gt;15,0,+VLOOKUP(DIM!Q31,plastivs!F47:I49,3,FALSE))</f>
        <v>205</v>
      </c>
    </row>
    <row r="52" spans="5:65" hidden="1" x14ac:dyDescent="0.2">
      <c r="F52" t="s">
        <v>72</v>
      </c>
      <c r="G52">
        <f>IF($E$45&gt;15,0,+VLOOKUP(DIM!Q31,plastivs!F47:I49,4,FALSE))</f>
        <v>71.5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</row>
    <row r="58" spans="5:65" hidden="1" x14ac:dyDescent="0.2">
      <c r="H58">
        <v>137</v>
      </c>
      <c r="J58">
        <v>1237</v>
      </c>
      <c r="R58">
        <v>937</v>
      </c>
      <c r="T58">
        <v>179</v>
      </c>
      <c r="V58">
        <v>189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</row>
    <row r="62" spans="5:65" hidden="1" x14ac:dyDescent="0.2">
      <c r="G62" t="s">
        <v>166</v>
      </c>
      <c r="H62">
        <v>6.9</v>
      </c>
      <c r="I62">
        <v>7.45</v>
      </c>
      <c r="J62">
        <v>7.1</v>
      </c>
      <c r="K62">
        <v>7.65</v>
      </c>
      <c r="L62">
        <v>7.3</v>
      </c>
      <c r="M62">
        <v>7.9</v>
      </c>
      <c r="N62">
        <v>7.5</v>
      </c>
      <c r="O62">
        <v>8.15</v>
      </c>
      <c r="Q62" t="s">
        <v>166</v>
      </c>
      <c r="R62">
        <v>6.7</v>
      </c>
      <c r="S62">
        <v>6.7</v>
      </c>
      <c r="T62">
        <v>7.05</v>
      </c>
      <c r="U62">
        <v>7.65</v>
      </c>
      <c r="V62">
        <v>7.6</v>
      </c>
      <c r="W62">
        <v>7.8</v>
      </c>
      <c r="X62">
        <v>7.6</v>
      </c>
      <c r="Y62">
        <v>7.6</v>
      </c>
      <c r="AA62" t="s">
        <v>166</v>
      </c>
      <c r="AB62">
        <v>7.8</v>
      </c>
      <c r="AC62">
        <v>8.4</v>
      </c>
      <c r="AD62">
        <v>8.3000000000000007</v>
      </c>
      <c r="AE62">
        <v>9</v>
      </c>
      <c r="AF62">
        <v>8.4</v>
      </c>
      <c r="AG62">
        <v>9</v>
      </c>
      <c r="AH62">
        <v>8.5500000000000007</v>
      </c>
      <c r="AI62">
        <v>9</v>
      </c>
      <c r="AK62" t="s">
        <v>166</v>
      </c>
      <c r="AL62">
        <v>6.4</v>
      </c>
      <c r="AM62">
        <v>6.4</v>
      </c>
      <c r="AN62">
        <v>7.65</v>
      </c>
      <c r="AO62">
        <v>7.65</v>
      </c>
      <c r="AP62">
        <v>7.45</v>
      </c>
      <c r="AQ62">
        <v>7.45</v>
      </c>
      <c r="AR62">
        <v>7.3</v>
      </c>
      <c r="AS62">
        <v>7.3</v>
      </c>
    </row>
    <row r="63" spans="5:65" hidden="1" x14ac:dyDescent="0.2">
      <c r="G63" t="s">
        <v>34</v>
      </c>
      <c r="H63">
        <v>6.5</v>
      </c>
      <c r="I63">
        <v>7</v>
      </c>
      <c r="J63">
        <v>6.7</v>
      </c>
      <c r="K63">
        <v>7.3</v>
      </c>
      <c r="L63">
        <f>0.25+J63</f>
        <v>6.95</v>
      </c>
      <c r="M63">
        <f>0.25+K63</f>
        <v>7.55</v>
      </c>
      <c r="N63">
        <f>0.2+L63</f>
        <v>7.15</v>
      </c>
      <c r="O63">
        <f>0.2+M63</f>
        <v>7.75</v>
      </c>
      <c r="Q63" t="s">
        <v>34</v>
      </c>
      <c r="R63">
        <v>6.5</v>
      </c>
      <c r="S63">
        <v>6.7</v>
      </c>
      <c r="T63">
        <v>7.05</v>
      </c>
      <c r="U63">
        <v>7.65</v>
      </c>
      <c r="V63">
        <v>7.2</v>
      </c>
      <c r="W63">
        <v>7.8</v>
      </c>
      <c r="X63">
        <f>0.2+V63</f>
        <v>7.4</v>
      </c>
      <c r="Y63">
        <v>7.6</v>
      </c>
      <c r="AA63" t="s">
        <v>34</v>
      </c>
      <c r="AB63">
        <f t="shared" ref="AB63" si="1">+AD63-0.2</f>
        <v>8.1000000000000014</v>
      </c>
      <c r="AC63">
        <f t="shared" ref="AC63" si="2">+AE63-0.2</f>
        <v>8.8000000000000007</v>
      </c>
      <c r="AD63">
        <v>8.3000000000000007</v>
      </c>
      <c r="AE63">
        <v>9</v>
      </c>
      <c r="AF63">
        <v>8.4</v>
      </c>
      <c r="AG63">
        <v>9</v>
      </c>
      <c r="AH63">
        <v>8.5500000000000007</v>
      </c>
      <c r="AI63">
        <v>9</v>
      </c>
      <c r="AK63" t="s">
        <v>34</v>
      </c>
      <c r="AL63">
        <v>6.4</v>
      </c>
      <c r="AM63">
        <v>6.4</v>
      </c>
      <c r="AN63">
        <v>7.65</v>
      </c>
      <c r="AO63">
        <v>7.65</v>
      </c>
      <c r="AP63">
        <v>7.3</v>
      </c>
      <c r="AQ63">
        <v>7.45</v>
      </c>
      <c r="AR63">
        <v>7.3</v>
      </c>
      <c r="AS63">
        <v>7.3</v>
      </c>
    </row>
    <row r="64" spans="5:65" hidden="1" x14ac:dyDescent="0.2">
      <c r="G64" t="s">
        <v>35</v>
      </c>
      <c r="H64">
        <v>6.15</v>
      </c>
      <c r="I64">
        <v>6.7</v>
      </c>
      <c r="J64">
        <v>6.4</v>
      </c>
      <c r="K64">
        <v>7</v>
      </c>
      <c r="L64">
        <f t="shared" ref="L64:L85" si="3">0.25+J64</f>
        <v>6.65</v>
      </c>
      <c r="M64">
        <f t="shared" ref="M64:M85" si="4">0.25+K64</f>
        <v>7.25</v>
      </c>
      <c r="N64">
        <f t="shared" ref="N64:N85" si="5">0.2+L64</f>
        <v>6.8500000000000005</v>
      </c>
      <c r="O64">
        <f t="shared" ref="O64:O85" si="6">0.2+M64</f>
        <v>7.45</v>
      </c>
      <c r="Q64" t="s">
        <v>35</v>
      </c>
      <c r="R64">
        <v>6.2</v>
      </c>
      <c r="S64">
        <v>6.7</v>
      </c>
      <c r="T64">
        <v>6.7</v>
      </c>
      <c r="U64">
        <v>7.3</v>
      </c>
      <c r="V64">
        <v>6.9</v>
      </c>
      <c r="W64">
        <v>7.5</v>
      </c>
      <c r="X64">
        <f t="shared" ref="X64:Y85" si="7">0.2+V64</f>
        <v>7.1000000000000005</v>
      </c>
      <c r="Y64">
        <f t="shared" si="7"/>
        <v>7.7</v>
      </c>
      <c r="AA64" t="s">
        <v>35</v>
      </c>
      <c r="AB64">
        <f t="shared" ref="AB64:AB85" si="8">+AD64-0.2</f>
        <v>6.9999999999999991</v>
      </c>
      <c r="AC64">
        <f t="shared" ref="AC64:AC85" si="9">+AE64-0.2</f>
        <v>7.7000000000000011</v>
      </c>
      <c r="AD64">
        <f t="shared" ref="AD64:AD85" si="10">+AF64-0.2</f>
        <v>7.1999999999999993</v>
      </c>
      <c r="AE64">
        <f t="shared" ref="AE64:AE85" si="11">+AG64-0.2</f>
        <v>7.9000000000000012</v>
      </c>
      <c r="AF64">
        <f t="shared" ref="AF64:AF85" si="12">+AH64-0.2</f>
        <v>7.3999999999999995</v>
      </c>
      <c r="AG64">
        <f t="shared" ref="AG64:AG85" si="13">+AI64-0.2</f>
        <v>8.1000000000000014</v>
      </c>
      <c r="AH64">
        <v>7.6</v>
      </c>
      <c r="AI64">
        <v>8.3000000000000007</v>
      </c>
      <c r="AK64" t="s">
        <v>35</v>
      </c>
      <c r="AL64">
        <v>6.4</v>
      </c>
      <c r="AM64">
        <v>6.4</v>
      </c>
      <c r="AN64">
        <v>7.2</v>
      </c>
      <c r="AO64">
        <v>7.6</v>
      </c>
      <c r="AP64">
        <v>7.1</v>
      </c>
      <c r="AQ64">
        <v>7.45</v>
      </c>
      <c r="AR64">
        <v>7.3</v>
      </c>
      <c r="AS64">
        <v>7.3</v>
      </c>
    </row>
    <row r="65" spans="7:45" hidden="1" x14ac:dyDescent="0.2">
      <c r="G65" t="s">
        <v>36</v>
      </c>
      <c r="H65">
        <v>5.9</v>
      </c>
      <c r="I65">
        <v>6.45</v>
      </c>
      <c r="J65">
        <v>6.1</v>
      </c>
      <c r="K65">
        <v>6.75</v>
      </c>
      <c r="L65">
        <f t="shared" si="3"/>
        <v>6.35</v>
      </c>
      <c r="M65">
        <f t="shared" si="4"/>
        <v>7</v>
      </c>
      <c r="N65">
        <f t="shared" si="5"/>
        <v>6.55</v>
      </c>
      <c r="O65">
        <f t="shared" si="6"/>
        <v>7.2</v>
      </c>
      <c r="Q65" t="s">
        <v>36</v>
      </c>
      <c r="R65">
        <v>5.95</v>
      </c>
      <c r="S65">
        <v>6.5</v>
      </c>
      <c r="T65">
        <v>6.4</v>
      </c>
      <c r="U65">
        <v>7</v>
      </c>
      <c r="V65">
        <v>5.6</v>
      </c>
      <c r="W65">
        <v>7.2</v>
      </c>
      <c r="X65">
        <f t="shared" si="7"/>
        <v>5.8</v>
      </c>
      <c r="Y65">
        <f t="shared" si="7"/>
        <v>7.4</v>
      </c>
      <c r="AA65" t="s">
        <v>36</v>
      </c>
      <c r="AB65">
        <f t="shared" si="8"/>
        <v>6.6999999999999993</v>
      </c>
      <c r="AC65">
        <f t="shared" si="9"/>
        <v>7.3999999999999995</v>
      </c>
      <c r="AD65">
        <f t="shared" si="10"/>
        <v>6.8999999999999995</v>
      </c>
      <c r="AE65">
        <f t="shared" si="11"/>
        <v>7.6</v>
      </c>
      <c r="AF65">
        <f t="shared" si="12"/>
        <v>7.1</v>
      </c>
      <c r="AG65">
        <f t="shared" si="13"/>
        <v>7.8</v>
      </c>
      <c r="AH65">
        <v>7.3</v>
      </c>
      <c r="AI65">
        <v>8</v>
      </c>
      <c r="AK65" t="s">
        <v>36</v>
      </c>
      <c r="AL65">
        <v>6.2</v>
      </c>
      <c r="AM65">
        <v>6.4</v>
      </c>
      <c r="AN65">
        <v>7</v>
      </c>
      <c r="AO65">
        <v>7.4</v>
      </c>
      <c r="AP65">
        <v>6.9</v>
      </c>
      <c r="AQ65">
        <v>7.3</v>
      </c>
      <c r="AR65">
        <v>7</v>
      </c>
      <c r="AS65">
        <v>7.3</v>
      </c>
    </row>
    <row r="66" spans="7:45" hidden="1" x14ac:dyDescent="0.2">
      <c r="G66" t="s">
        <v>37</v>
      </c>
      <c r="H66">
        <v>5.65</v>
      </c>
      <c r="I66">
        <v>6.2</v>
      </c>
      <c r="J66">
        <v>5.85</v>
      </c>
      <c r="K66">
        <v>6.5</v>
      </c>
      <c r="L66">
        <f t="shared" si="3"/>
        <v>6.1</v>
      </c>
      <c r="M66">
        <f t="shared" si="4"/>
        <v>6.75</v>
      </c>
      <c r="N66">
        <f t="shared" si="5"/>
        <v>6.3</v>
      </c>
      <c r="O66">
        <f t="shared" si="6"/>
        <v>6.95</v>
      </c>
      <c r="Q66" t="s">
        <v>37</v>
      </c>
      <c r="R66">
        <v>5.7</v>
      </c>
      <c r="S66">
        <v>6.25</v>
      </c>
      <c r="T66">
        <v>6.15</v>
      </c>
      <c r="U66">
        <v>6.75</v>
      </c>
      <c r="V66">
        <v>6.35</v>
      </c>
      <c r="W66">
        <v>6.95</v>
      </c>
      <c r="X66">
        <f t="shared" si="7"/>
        <v>6.55</v>
      </c>
      <c r="Y66">
        <f t="shared" si="7"/>
        <v>7.15</v>
      </c>
      <c r="AA66" t="s">
        <v>37</v>
      </c>
      <c r="AB66">
        <f t="shared" si="8"/>
        <v>6.4499999999999993</v>
      </c>
      <c r="AC66">
        <f t="shared" si="9"/>
        <v>7.1499999999999995</v>
      </c>
      <c r="AD66">
        <f t="shared" si="10"/>
        <v>6.6499999999999995</v>
      </c>
      <c r="AE66">
        <f t="shared" si="11"/>
        <v>7.35</v>
      </c>
      <c r="AF66">
        <f t="shared" si="12"/>
        <v>6.85</v>
      </c>
      <c r="AG66">
        <f t="shared" si="13"/>
        <v>7.55</v>
      </c>
      <c r="AH66">
        <v>7.05</v>
      </c>
      <c r="AI66">
        <v>7.75</v>
      </c>
      <c r="AK66" t="s">
        <v>37</v>
      </c>
      <c r="AL66">
        <v>6.1</v>
      </c>
      <c r="AM66">
        <v>6.4</v>
      </c>
      <c r="AN66">
        <v>6.7</v>
      </c>
      <c r="AO66">
        <v>7.25</v>
      </c>
      <c r="AP66">
        <v>6.75</v>
      </c>
      <c r="AQ66">
        <v>7.1</v>
      </c>
      <c r="AR66">
        <v>6.8</v>
      </c>
      <c r="AS66">
        <v>7.2</v>
      </c>
    </row>
    <row r="67" spans="7:45" hidden="1" x14ac:dyDescent="0.2">
      <c r="G67" t="s">
        <v>80</v>
      </c>
      <c r="H67">
        <v>5.45</v>
      </c>
      <c r="I67">
        <v>6</v>
      </c>
      <c r="J67">
        <v>5.65</v>
      </c>
      <c r="K67">
        <v>6.3</v>
      </c>
      <c r="L67">
        <f t="shared" si="3"/>
        <v>5.9</v>
      </c>
      <c r="M67">
        <f t="shared" si="4"/>
        <v>6.55</v>
      </c>
      <c r="N67">
        <f t="shared" si="5"/>
        <v>6.1000000000000005</v>
      </c>
      <c r="O67">
        <f t="shared" si="6"/>
        <v>6.75</v>
      </c>
      <c r="Q67" t="s">
        <v>80</v>
      </c>
      <c r="R67">
        <v>5.5</v>
      </c>
      <c r="S67">
        <v>6.05</v>
      </c>
      <c r="T67">
        <v>5.95</v>
      </c>
      <c r="U67">
        <v>6.55</v>
      </c>
      <c r="V67">
        <v>6.05</v>
      </c>
      <c r="W67">
        <v>6.75</v>
      </c>
      <c r="X67">
        <f t="shared" si="7"/>
        <v>6.25</v>
      </c>
      <c r="Y67">
        <f t="shared" si="7"/>
        <v>6.95</v>
      </c>
      <c r="AA67" t="s">
        <v>80</v>
      </c>
      <c r="AB67">
        <f t="shared" si="8"/>
        <v>6.2499999999999991</v>
      </c>
      <c r="AC67">
        <f t="shared" si="9"/>
        <v>6.9499999999999993</v>
      </c>
      <c r="AD67">
        <f t="shared" si="10"/>
        <v>6.4499999999999993</v>
      </c>
      <c r="AE67">
        <f t="shared" si="11"/>
        <v>7.1499999999999995</v>
      </c>
      <c r="AF67">
        <f t="shared" si="12"/>
        <v>6.6499999999999995</v>
      </c>
      <c r="AG67">
        <f t="shared" si="13"/>
        <v>7.35</v>
      </c>
      <c r="AH67">
        <v>6.85</v>
      </c>
      <c r="AI67">
        <v>7.55</v>
      </c>
      <c r="AK67" t="s">
        <v>80</v>
      </c>
      <c r="AL67">
        <v>6</v>
      </c>
      <c r="AM67">
        <v>6.3</v>
      </c>
      <c r="AN67">
        <v>6.5</v>
      </c>
      <c r="AO67">
        <v>7.05</v>
      </c>
      <c r="AP67">
        <v>6.6</v>
      </c>
      <c r="AQ67">
        <v>6.95</v>
      </c>
      <c r="AR67">
        <v>6.65</v>
      </c>
      <c r="AS67">
        <v>7</v>
      </c>
    </row>
    <row r="68" spans="7:45" hidden="1" x14ac:dyDescent="0.2">
      <c r="G68" t="s">
        <v>38</v>
      </c>
      <c r="H68">
        <v>5.15</v>
      </c>
      <c r="I68">
        <v>5.65</v>
      </c>
      <c r="J68">
        <v>5.35</v>
      </c>
      <c r="K68">
        <v>5.95</v>
      </c>
      <c r="L68">
        <f t="shared" si="3"/>
        <v>5.6</v>
      </c>
      <c r="M68">
        <f t="shared" si="4"/>
        <v>6.2</v>
      </c>
      <c r="N68">
        <f t="shared" si="5"/>
        <v>5.8</v>
      </c>
      <c r="O68">
        <f t="shared" si="6"/>
        <v>6.4</v>
      </c>
      <c r="Q68" t="s">
        <v>38</v>
      </c>
      <c r="R68">
        <v>5.0999999999999996</v>
      </c>
      <c r="S68">
        <v>5.65</v>
      </c>
      <c r="T68">
        <v>5.55</v>
      </c>
      <c r="U68">
        <v>6.15</v>
      </c>
      <c r="V68">
        <v>5.75</v>
      </c>
      <c r="W68">
        <v>6.35</v>
      </c>
      <c r="X68">
        <f t="shared" si="7"/>
        <v>5.95</v>
      </c>
      <c r="Y68">
        <f t="shared" si="7"/>
        <v>6.55</v>
      </c>
      <c r="AA68" t="s">
        <v>38</v>
      </c>
      <c r="AB68">
        <f t="shared" si="8"/>
        <v>5.85</v>
      </c>
      <c r="AC68">
        <f t="shared" si="9"/>
        <v>6.55</v>
      </c>
      <c r="AD68">
        <f t="shared" si="10"/>
        <v>6.05</v>
      </c>
      <c r="AE68">
        <f t="shared" si="11"/>
        <v>6.75</v>
      </c>
      <c r="AF68">
        <f t="shared" si="12"/>
        <v>6.25</v>
      </c>
      <c r="AG68">
        <f t="shared" si="13"/>
        <v>6.95</v>
      </c>
      <c r="AH68">
        <v>6.45</v>
      </c>
      <c r="AI68">
        <v>7.15</v>
      </c>
      <c r="AK68" t="s">
        <v>38</v>
      </c>
      <c r="AL68">
        <v>5.7</v>
      </c>
      <c r="AM68">
        <v>6</v>
      </c>
      <c r="AN68">
        <v>6.1</v>
      </c>
      <c r="AO68">
        <v>6.65</v>
      </c>
      <c r="AP68">
        <v>6.3</v>
      </c>
      <c r="AQ68">
        <v>6.6</v>
      </c>
      <c r="AR68">
        <v>6.35</v>
      </c>
      <c r="AS68">
        <v>6.7</v>
      </c>
    </row>
    <row r="69" spans="7:45" hidden="1" x14ac:dyDescent="0.2">
      <c r="G69" t="s">
        <v>39</v>
      </c>
      <c r="H69">
        <v>4.8499999999999996</v>
      </c>
      <c r="I69">
        <v>5.4</v>
      </c>
      <c r="J69">
        <v>5.05</v>
      </c>
      <c r="K69">
        <v>5.35</v>
      </c>
      <c r="L69">
        <f t="shared" si="3"/>
        <v>5.3</v>
      </c>
      <c r="M69">
        <f t="shared" si="4"/>
        <v>5.6</v>
      </c>
      <c r="N69">
        <f t="shared" si="5"/>
        <v>5.5</v>
      </c>
      <c r="O69">
        <f t="shared" si="6"/>
        <v>5.8</v>
      </c>
      <c r="Q69" t="s">
        <v>39</v>
      </c>
      <c r="R69">
        <v>4.8499999999999996</v>
      </c>
      <c r="S69">
        <v>5.4</v>
      </c>
      <c r="T69">
        <v>5.25</v>
      </c>
      <c r="U69">
        <v>5.85</v>
      </c>
      <c r="V69">
        <v>5.45</v>
      </c>
      <c r="W69">
        <v>6.05</v>
      </c>
      <c r="X69">
        <f t="shared" si="7"/>
        <v>5.65</v>
      </c>
      <c r="Y69">
        <f t="shared" si="7"/>
        <v>6.25</v>
      </c>
      <c r="AA69" t="s">
        <v>39</v>
      </c>
      <c r="AB69">
        <f t="shared" si="8"/>
        <v>5.55</v>
      </c>
      <c r="AC69">
        <f t="shared" si="9"/>
        <v>6.1999999999999993</v>
      </c>
      <c r="AD69">
        <f t="shared" si="10"/>
        <v>5.75</v>
      </c>
      <c r="AE69">
        <f t="shared" si="11"/>
        <v>6.3999999999999995</v>
      </c>
      <c r="AF69">
        <f t="shared" si="12"/>
        <v>5.95</v>
      </c>
      <c r="AG69">
        <f t="shared" si="13"/>
        <v>6.6</v>
      </c>
      <c r="AH69">
        <v>6.15</v>
      </c>
      <c r="AI69">
        <v>6.8</v>
      </c>
      <c r="AK69" t="s">
        <v>39</v>
      </c>
      <c r="AL69">
        <v>5.45</v>
      </c>
      <c r="AM69">
        <v>5.75</v>
      </c>
      <c r="AN69">
        <v>5.75</v>
      </c>
      <c r="AO69">
        <v>6.35</v>
      </c>
      <c r="AP69">
        <v>6</v>
      </c>
      <c r="AQ69">
        <v>6.35</v>
      </c>
      <c r="AR69">
        <v>6.1</v>
      </c>
      <c r="AS69">
        <v>6.45</v>
      </c>
    </row>
    <row r="70" spans="7:45" hidden="1" x14ac:dyDescent="0.2">
      <c r="G70" t="s">
        <v>167</v>
      </c>
      <c r="H70">
        <v>6.4</v>
      </c>
      <c r="I70">
        <v>6.75</v>
      </c>
      <c r="J70">
        <v>6.6</v>
      </c>
      <c r="K70">
        <v>7</v>
      </c>
      <c r="L70">
        <v>6.8</v>
      </c>
      <c r="M70">
        <v>7.25</v>
      </c>
      <c r="N70">
        <v>7</v>
      </c>
      <c r="O70">
        <v>7.45</v>
      </c>
      <c r="Q70" t="s">
        <v>167</v>
      </c>
      <c r="R70">
        <v>6.4</v>
      </c>
      <c r="S70">
        <v>6.7</v>
      </c>
      <c r="T70">
        <v>6.95</v>
      </c>
      <c r="U70">
        <v>7.35</v>
      </c>
      <c r="V70">
        <v>7.1</v>
      </c>
      <c r="W70">
        <v>7.55</v>
      </c>
      <c r="X70">
        <v>7.6</v>
      </c>
      <c r="Y70">
        <v>7.6</v>
      </c>
      <c r="AA70" t="s">
        <v>167</v>
      </c>
      <c r="AB70">
        <v>7.25</v>
      </c>
      <c r="AC70">
        <v>7.7</v>
      </c>
      <c r="AD70">
        <v>7.75</v>
      </c>
      <c r="AE70">
        <v>8.1999999999999993</v>
      </c>
      <c r="AF70">
        <v>7.9</v>
      </c>
      <c r="AG70">
        <v>8.35</v>
      </c>
      <c r="AH70">
        <v>8</v>
      </c>
      <c r="AI70">
        <v>8.5500000000000007</v>
      </c>
      <c r="AK70" t="s">
        <v>167</v>
      </c>
      <c r="AL70">
        <v>6.4</v>
      </c>
      <c r="AM70">
        <v>6.4</v>
      </c>
      <c r="AN70">
        <v>7.2</v>
      </c>
      <c r="AO70">
        <v>7.6</v>
      </c>
      <c r="AP70">
        <v>7.2</v>
      </c>
      <c r="AQ70">
        <v>7.3</v>
      </c>
      <c r="AR70">
        <v>7.2</v>
      </c>
      <c r="AS70">
        <v>7.3</v>
      </c>
    </row>
    <row r="71" spans="7:45" hidden="1" x14ac:dyDescent="0.2">
      <c r="G71" t="s">
        <v>40</v>
      </c>
      <c r="H71">
        <v>6.1</v>
      </c>
      <c r="I71">
        <v>6.45</v>
      </c>
      <c r="J71">
        <v>6.3</v>
      </c>
      <c r="K71">
        <v>6.75</v>
      </c>
      <c r="L71">
        <f t="shared" si="3"/>
        <v>6.55</v>
      </c>
      <c r="M71">
        <f t="shared" si="4"/>
        <v>7</v>
      </c>
      <c r="N71">
        <f t="shared" si="5"/>
        <v>6.75</v>
      </c>
      <c r="O71">
        <f t="shared" si="6"/>
        <v>7.2</v>
      </c>
      <c r="Q71" t="s">
        <v>40</v>
      </c>
      <c r="R71">
        <v>6.15</v>
      </c>
      <c r="S71">
        <v>6.5</v>
      </c>
      <c r="T71">
        <v>6.6</v>
      </c>
      <c r="U71">
        <v>7.05</v>
      </c>
      <c r="V71">
        <v>6.8</v>
      </c>
      <c r="W71">
        <v>7.25</v>
      </c>
      <c r="X71">
        <f t="shared" si="7"/>
        <v>7</v>
      </c>
      <c r="Y71">
        <f t="shared" si="7"/>
        <v>7.45</v>
      </c>
      <c r="AA71" t="s">
        <v>40</v>
      </c>
      <c r="AB71">
        <f t="shared" si="8"/>
        <v>6.8999999999999995</v>
      </c>
      <c r="AC71">
        <v>7.4</v>
      </c>
      <c r="AD71">
        <f t="shared" si="10"/>
        <v>7.1</v>
      </c>
      <c r="AE71">
        <f t="shared" si="11"/>
        <v>7.65</v>
      </c>
      <c r="AF71">
        <f t="shared" si="12"/>
        <v>7.3</v>
      </c>
      <c r="AG71">
        <f t="shared" si="13"/>
        <v>7.8500000000000005</v>
      </c>
      <c r="AH71">
        <v>7.5</v>
      </c>
      <c r="AI71">
        <v>8.0500000000000007</v>
      </c>
      <c r="AK71" t="s">
        <v>40</v>
      </c>
      <c r="AL71">
        <v>6.2</v>
      </c>
      <c r="AM71">
        <v>6.4</v>
      </c>
      <c r="AN71">
        <v>7.1</v>
      </c>
      <c r="AO71">
        <v>7.45</v>
      </c>
      <c r="AP71">
        <v>6.95</v>
      </c>
      <c r="AQ71">
        <v>7.3</v>
      </c>
      <c r="AR71">
        <f>0.1+AP71</f>
        <v>7.05</v>
      </c>
      <c r="AS71">
        <v>7.3</v>
      </c>
    </row>
    <row r="72" spans="7:45" hidden="1" x14ac:dyDescent="0.2">
      <c r="G72" t="s">
        <v>41</v>
      </c>
      <c r="H72">
        <v>5.8</v>
      </c>
      <c r="I72">
        <v>6.2</v>
      </c>
      <c r="J72">
        <v>6.05</v>
      </c>
      <c r="K72">
        <v>6.5</v>
      </c>
      <c r="L72">
        <f t="shared" si="3"/>
        <v>6.3</v>
      </c>
      <c r="M72">
        <f t="shared" si="4"/>
        <v>6.75</v>
      </c>
      <c r="N72">
        <f t="shared" si="5"/>
        <v>6.5</v>
      </c>
      <c r="O72">
        <f t="shared" si="6"/>
        <v>6.95</v>
      </c>
      <c r="Q72" t="s">
        <v>41</v>
      </c>
      <c r="R72">
        <v>5.85</v>
      </c>
      <c r="S72">
        <v>6.25</v>
      </c>
      <c r="T72">
        <v>6.3</v>
      </c>
      <c r="U72">
        <v>6.8</v>
      </c>
      <c r="V72">
        <v>6.5</v>
      </c>
      <c r="W72">
        <v>7</v>
      </c>
      <c r="X72">
        <f t="shared" si="7"/>
        <v>6.7</v>
      </c>
      <c r="Y72">
        <f t="shared" si="7"/>
        <v>7.2</v>
      </c>
      <c r="AA72" t="s">
        <v>41</v>
      </c>
      <c r="AB72">
        <f t="shared" si="8"/>
        <v>6.6</v>
      </c>
      <c r="AC72">
        <f t="shared" si="9"/>
        <v>7.1499999999999995</v>
      </c>
      <c r="AD72">
        <f t="shared" si="10"/>
        <v>6.8</v>
      </c>
      <c r="AE72">
        <f t="shared" si="11"/>
        <v>7.35</v>
      </c>
      <c r="AF72">
        <f t="shared" si="12"/>
        <v>7</v>
      </c>
      <c r="AG72">
        <f t="shared" si="13"/>
        <v>7.55</v>
      </c>
      <c r="AH72">
        <v>7.2</v>
      </c>
      <c r="AI72">
        <v>7.75</v>
      </c>
      <c r="AK72" t="s">
        <v>41</v>
      </c>
      <c r="AL72">
        <v>6.1</v>
      </c>
      <c r="AM72">
        <v>6.4</v>
      </c>
      <c r="AN72">
        <v>6.85</v>
      </c>
      <c r="AO72">
        <v>7.25</v>
      </c>
      <c r="AP72">
        <v>6.8</v>
      </c>
      <c r="AQ72">
        <v>7.15</v>
      </c>
      <c r="AR72">
        <f t="shared" ref="AR72:AR85" si="14">0.1+AP72</f>
        <v>6.8999999999999995</v>
      </c>
      <c r="AS72">
        <f t="shared" ref="AS72:AS85" si="15">0.1+AQ72</f>
        <v>7.25</v>
      </c>
    </row>
    <row r="73" spans="7:45" hidden="1" x14ac:dyDescent="0.2">
      <c r="G73" t="s">
        <v>42</v>
      </c>
      <c r="H73">
        <v>5.6</v>
      </c>
      <c r="I73">
        <v>6</v>
      </c>
      <c r="J73">
        <v>5.8</v>
      </c>
      <c r="K73">
        <v>6.3</v>
      </c>
      <c r="L73">
        <f t="shared" si="3"/>
        <v>6.05</v>
      </c>
      <c r="M73">
        <f t="shared" si="4"/>
        <v>6.55</v>
      </c>
      <c r="N73">
        <f t="shared" si="5"/>
        <v>6.25</v>
      </c>
      <c r="O73">
        <f t="shared" si="6"/>
        <v>6.75</v>
      </c>
      <c r="Q73" t="s">
        <v>42</v>
      </c>
      <c r="R73">
        <v>5.6</v>
      </c>
      <c r="S73">
        <v>6.05</v>
      </c>
      <c r="T73">
        <v>6.1</v>
      </c>
      <c r="U73">
        <v>6.55</v>
      </c>
      <c r="V73">
        <v>6.3</v>
      </c>
      <c r="W73">
        <v>6.75</v>
      </c>
      <c r="X73">
        <f t="shared" si="7"/>
        <v>6.5</v>
      </c>
      <c r="Y73">
        <f t="shared" si="7"/>
        <v>6.95</v>
      </c>
      <c r="AA73" t="s">
        <v>42</v>
      </c>
      <c r="AB73">
        <f t="shared" si="8"/>
        <v>6.3999999999999995</v>
      </c>
      <c r="AC73">
        <f t="shared" si="9"/>
        <v>6.9499999999999993</v>
      </c>
      <c r="AD73">
        <f t="shared" si="10"/>
        <v>6.6</v>
      </c>
      <c r="AE73">
        <f t="shared" si="11"/>
        <v>7.1499999999999995</v>
      </c>
      <c r="AF73">
        <f t="shared" si="12"/>
        <v>6.8</v>
      </c>
      <c r="AG73">
        <f t="shared" si="13"/>
        <v>7.35</v>
      </c>
      <c r="AH73">
        <v>7</v>
      </c>
      <c r="AI73">
        <v>7.55</v>
      </c>
      <c r="AK73" t="s">
        <v>42</v>
      </c>
      <c r="AL73">
        <v>6</v>
      </c>
      <c r="AM73">
        <v>6.3</v>
      </c>
      <c r="AN73">
        <v>6.65</v>
      </c>
      <c r="AO73">
        <v>7.05</v>
      </c>
      <c r="AP73">
        <v>6.65</v>
      </c>
      <c r="AQ73">
        <v>7</v>
      </c>
      <c r="AR73">
        <f t="shared" si="14"/>
        <v>6.75</v>
      </c>
      <c r="AS73">
        <f t="shared" si="15"/>
        <v>7.1</v>
      </c>
    </row>
    <row r="74" spans="7:45" hidden="1" x14ac:dyDescent="0.2">
      <c r="G74" t="s">
        <v>43</v>
      </c>
      <c r="H74">
        <v>5.4</v>
      </c>
      <c r="I74">
        <v>5.8</v>
      </c>
      <c r="J74">
        <v>5.6</v>
      </c>
      <c r="K74">
        <v>6.1</v>
      </c>
      <c r="L74">
        <f t="shared" si="3"/>
        <v>5.85</v>
      </c>
      <c r="M74">
        <f t="shared" si="4"/>
        <v>6.35</v>
      </c>
      <c r="N74">
        <f t="shared" si="5"/>
        <v>6.05</v>
      </c>
      <c r="O74">
        <f t="shared" si="6"/>
        <v>6.55</v>
      </c>
      <c r="Q74" t="s">
        <v>43</v>
      </c>
      <c r="R74">
        <v>5.4</v>
      </c>
      <c r="S74">
        <v>5.85</v>
      </c>
      <c r="T74">
        <v>5.85</v>
      </c>
      <c r="U74">
        <v>6.35</v>
      </c>
      <c r="V74">
        <v>6.1</v>
      </c>
      <c r="W74">
        <v>6.6</v>
      </c>
      <c r="X74">
        <f t="shared" si="7"/>
        <v>6.3</v>
      </c>
      <c r="Y74">
        <f t="shared" si="7"/>
        <v>6.8</v>
      </c>
      <c r="AA74" t="s">
        <v>43</v>
      </c>
      <c r="AB74">
        <f t="shared" si="8"/>
        <v>6.1499999999999995</v>
      </c>
      <c r="AC74">
        <f t="shared" si="9"/>
        <v>6.6999999999999993</v>
      </c>
      <c r="AD74">
        <f t="shared" si="10"/>
        <v>6.35</v>
      </c>
      <c r="AE74">
        <f t="shared" si="11"/>
        <v>6.8999999999999995</v>
      </c>
      <c r="AF74">
        <f t="shared" si="12"/>
        <v>6.55</v>
      </c>
      <c r="AG74">
        <f t="shared" si="13"/>
        <v>7.1</v>
      </c>
      <c r="AH74">
        <v>6.75</v>
      </c>
      <c r="AI74">
        <v>7.3</v>
      </c>
      <c r="AK74" t="s">
        <v>43</v>
      </c>
      <c r="AL74">
        <v>5.85</v>
      </c>
      <c r="AM74">
        <v>6.15</v>
      </c>
      <c r="AN74">
        <v>6.4</v>
      </c>
      <c r="AO74">
        <v>6.9</v>
      </c>
      <c r="AP74">
        <v>6.5</v>
      </c>
      <c r="AQ74">
        <v>6.85</v>
      </c>
      <c r="AR74">
        <f t="shared" si="14"/>
        <v>6.6</v>
      </c>
      <c r="AS74">
        <f t="shared" si="15"/>
        <v>6.9499999999999993</v>
      </c>
    </row>
    <row r="75" spans="7:45" hidden="1" x14ac:dyDescent="0.2">
      <c r="G75" t="s">
        <v>81</v>
      </c>
      <c r="H75">
        <v>5.25</v>
      </c>
      <c r="I75">
        <v>5.65</v>
      </c>
      <c r="J75">
        <v>5.45</v>
      </c>
      <c r="K75">
        <v>6.05</v>
      </c>
      <c r="L75">
        <f t="shared" si="3"/>
        <v>5.7</v>
      </c>
      <c r="M75">
        <f t="shared" si="4"/>
        <v>6.3</v>
      </c>
      <c r="N75">
        <f t="shared" si="5"/>
        <v>5.9</v>
      </c>
      <c r="O75">
        <f t="shared" si="6"/>
        <v>6.5</v>
      </c>
      <c r="Q75" t="s">
        <v>81</v>
      </c>
      <c r="R75">
        <v>5.25</v>
      </c>
      <c r="S75">
        <v>5.65</v>
      </c>
      <c r="T75">
        <v>5.7</v>
      </c>
      <c r="U75">
        <v>6.15</v>
      </c>
      <c r="V75">
        <v>5.9</v>
      </c>
      <c r="W75">
        <v>6.35</v>
      </c>
      <c r="X75">
        <f t="shared" si="7"/>
        <v>6.1000000000000005</v>
      </c>
      <c r="Y75">
        <f t="shared" si="7"/>
        <v>6.55</v>
      </c>
      <c r="AA75" t="s">
        <v>81</v>
      </c>
      <c r="AB75">
        <f t="shared" si="8"/>
        <v>5.9999999999999991</v>
      </c>
      <c r="AC75">
        <f t="shared" si="9"/>
        <v>6.55</v>
      </c>
      <c r="AD75">
        <f t="shared" si="10"/>
        <v>6.1999999999999993</v>
      </c>
      <c r="AE75">
        <f t="shared" si="11"/>
        <v>6.75</v>
      </c>
      <c r="AF75">
        <f t="shared" si="12"/>
        <v>6.3999999999999995</v>
      </c>
      <c r="AG75">
        <f t="shared" si="13"/>
        <v>6.95</v>
      </c>
      <c r="AH75">
        <v>6.6</v>
      </c>
      <c r="AI75">
        <v>7.15</v>
      </c>
      <c r="AK75" t="s">
        <v>81</v>
      </c>
      <c r="AL75">
        <v>5.7</v>
      </c>
      <c r="AM75">
        <v>6</v>
      </c>
      <c r="AN75">
        <v>6.2</v>
      </c>
      <c r="AO75">
        <v>6.7</v>
      </c>
      <c r="AP75">
        <v>6.35</v>
      </c>
      <c r="AQ75">
        <v>6.7</v>
      </c>
      <c r="AR75">
        <f t="shared" si="14"/>
        <v>6.4499999999999993</v>
      </c>
      <c r="AS75">
        <f t="shared" si="15"/>
        <v>6.8</v>
      </c>
    </row>
    <row r="76" spans="7:45" hidden="1" x14ac:dyDescent="0.2">
      <c r="G76" t="s">
        <v>44</v>
      </c>
      <c r="H76">
        <v>4.95</v>
      </c>
      <c r="I76">
        <v>5.35</v>
      </c>
      <c r="J76">
        <v>5.05</v>
      </c>
      <c r="K76">
        <v>5.65</v>
      </c>
      <c r="L76">
        <f t="shared" si="3"/>
        <v>5.3</v>
      </c>
      <c r="M76">
        <f t="shared" si="4"/>
        <v>5.9</v>
      </c>
      <c r="N76">
        <f t="shared" si="5"/>
        <v>5.5</v>
      </c>
      <c r="O76">
        <f t="shared" si="6"/>
        <v>6.1000000000000005</v>
      </c>
      <c r="Q76" t="s">
        <v>44</v>
      </c>
      <c r="R76">
        <v>4.95</v>
      </c>
      <c r="S76">
        <v>5.35</v>
      </c>
      <c r="T76">
        <v>5.35</v>
      </c>
      <c r="U76">
        <v>5.85</v>
      </c>
      <c r="V76">
        <v>5.55</v>
      </c>
      <c r="W76">
        <v>6.05</v>
      </c>
      <c r="X76">
        <f t="shared" si="7"/>
        <v>5.75</v>
      </c>
      <c r="Y76">
        <f t="shared" si="7"/>
        <v>6.25</v>
      </c>
      <c r="AA76" t="s">
        <v>44</v>
      </c>
      <c r="AB76">
        <f t="shared" si="8"/>
        <v>5.6499999999999995</v>
      </c>
      <c r="AC76">
        <f t="shared" si="9"/>
        <v>6.1499999999999995</v>
      </c>
      <c r="AD76">
        <f t="shared" si="10"/>
        <v>5.85</v>
      </c>
      <c r="AE76">
        <f t="shared" si="11"/>
        <v>6.35</v>
      </c>
      <c r="AF76">
        <f t="shared" si="12"/>
        <v>6.05</v>
      </c>
      <c r="AG76">
        <f t="shared" si="13"/>
        <v>6.55</v>
      </c>
      <c r="AH76">
        <v>6.25</v>
      </c>
      <c r="AI76">
        <v>6.75</v>
      </c>
      <c r="AK76" t="s">
        <v>44</v>
      </c>
      <c r="AL76">
        <v>5.5</v>
      </c>
      <c r="AM76">
        <v>5.8</v>
      </c>
      <c r="AN76">
        <v>6.1</v>
      </c>
      <c r="AO76">
        <v>6.45</v>
      </c>
      <c r="AP76">
        <v>6.15</v>
      </c>
      <c r="AQ76">
        <v>6.45</v>
      </c>
      <c r="AR76">
        <f t="shared" si="14"/>
        <v>6.25</v>
      </c>
      <c r="AS76">
        <f t="shared" si="15"/>
        <v>6.55</v>
      </c>
    </row>
    <row r="77" spans="7:45" hidden="1" x14ac:dyDescent="0.2">
      <c r="G77" t="s">
        <v>67</v>
      </c>
      <c r="H77">
        <v>4.7</v>
      </c>
      <c r="I77">
        <v>5.15</v>
      </c>
      <c r="J77">
        <v>4.9000000000000004</v>
      </c>
      <c r="K77">
        <v>5.45</v>
      </c>
      <c r="L77">
        <f t="shared" si="3"/>
        <v>5.15</v>
      </c>
      <c r="M77">
        <f t="shared" si="4"/>
        <v>5.7</v>
      </c>
      <c r="N77">
        <f t="shared" si="5"/>
        <v>5.3500000000000005</v>
      </c>
      <c r="O77">
        <f t="shared" si="6"/>
        <v>5.9</v>
      </c>
      <c r="Q77" t="s">
        <v>67</v>
      </c>
      <c r="R77">
        <v>4.7</v>
      </c>
      <c r="S77">
        <v>5.15</v>
      </c>
      <c r="T77">
        <v>5.0999999999999996</v>
      </c>
      <c r="U77">
        <v>5.6</v>
      </c>
      <c r="V77">
        <v>5.3</v>
      </c>
      <c r="W77">
        <v>5.8</v>
      </c>
      <c r="X77">
        <f t="shared" si="7"/>
        <v>5.5</v>
      </c>
      <c r="Y77">
        <f t="shared" si="7"/>
        <v>6</v>
      </c>
      <c r="AA77" t="s">
        <v>67</v>
      </c>
      <c r="AB77">
        <f t="shared" si="8"/>
        <v>5.3999999999999995</v>
      </c>
      <c r="AC77">
        <f t="shared" si="9"/>
        <v>5.9499999999999993</v>
      </c>
      <c r="AD77">
        <f t="shared" si="10"/>
        <v>5.6</v>
      </c>
      <c r="AE77">
        <f t="shared" si="11"/>
        <v>6.1499999999999995</v>
      </c>
      <c r="AF77">
        <f t="shared" si="12"/>
        <v>5.8</v>
      </c>
      <c r="AG77">
        <f t="shared" si="13"/>
        <v>6.35</v>
      </c>
      <c r="AH77">
        <v>6</v>
      </c>
      <c r="AI77">
        <v>6.55</v>
      </c>
      <c r="AK77" t="s">
        <v>67</v>
      </c>
      <c r="AL77">
        <v>5.3</v>
      </c>
      <c r="AM77">
        <v>5.6</v>
      </c>
      <c r="AN77">
        <v>5.8</v>
      </c>
      <c r="AO77">
        <v>6.2</v>
      </c>
      <c r="AP77">
        <v>5.9</v>
      </c>
      <c r="AQ77">
        <v>6.25</v>
      </c>
      <c r="AR77">
        <f t="shared" si="14"/>
        <v>6</v>
      </c>
      <c r="AS77">
        <f t="shared" si="15"/>
        <v>6.35</v>
      </c>
    </row>
    <row r="78" spans="7:45" hidden="1" x14ac:dyDescent="0.2">
      <c r="G78" t="s">
        <v>168</v>
      </c>
      <c r="H78">
        <v>5.85</v>
      </c>
      <c r="I78">
        <v>6.05</v>
      </c>
      <c r="J78">
        <v>6.05</v>
      </c>
      <c r="K78">
        <v>6.3</v>
      </c>
      <c r="L78">
        <f t="shared" si="3"/>
        <v>6.3</v>
      </c>
      <c r="M78">
        <f t="shared" si="4"/>
        <v>6.55</v>
      </c>
      <c r="N78">
        <f t="shared" si="5"/>
        <v>6.5</v>
      </c>
      <c r="O78">
        <f t="shared" si="6"/>
        <v>6.75</v>
      </c>
      <c r="Q78" t="s">
        <v>168</v>
      </c>
      <c r="R78">
        <v>5.85</v>
      </c>
      <c r="S78">
        <v>6.05</v>
      </c>
      <c r="T78">
        <v>6.35</v>
      </c>
      <c r="U78">
        <v>6.6</v>
      </c>
      <c r="V78">
        <v>6.5</v>
      </c>
      <c r="W78">
        <v>6.8</v>
      </c>
      <c r="X78">
        <v>6.6</v>
      </c>
      <c r="Y78">
        <v>6.95</v>
      </c>
      <c r="AA78" t="s">
        <v>168</v>
      </c>
      <c r="AB78">
        <v>6.65</v>
      </c>
      <c r="AC78">
        <v>6.95</v>
      </c>
      <c r="AD78">
        <v>7.1</v>
      </c>
      <c r="AE78">
        <v>7.4</v>
      </c>
      <c r="AF78">
        <v>7.25</v>
      </c>
      <c r="AG78">
        <v>7.6</v>
      </c>
      <c r="AH78">
        <v>7.4</v>
      </c>
      <c r="AI78">
        <v>7.8</v>
      </c>
      <c r="AK78" t="s">
        <v>168</v>
      </c>
      <c r="AL78">
        <v>5.95</v>
      </c>
      <c r="AM78">
        <v>6.3</v>
      </c>
      <c r="AN78">
        <v>6.65</v>
      </c>
      <c r="AO78">
        <v>7</v>
      </c>
      <c r="AP78">
        <v>6.75</v>
      </c>
      <c r="AQ78">
        <v>7.15</v>
      </c>
      <c r="AR78">
        <v>6.75</v>
      </c>
      <c r="AS78">
        <v>7.1</v>
      </c>
    </row>
    <row r="79" spans="7:45" hidden="1" x14ac:dyDescent="0.2">
      <c r="G79" t="s">
        <v>50</v>
      </c>
      <c r="H79">
        <v>5.6</v>
      </c>
      <c r="I79">
        <v>5.85</v>
      </c>
      <c r="J79">
        <v>5.8</v>
      </c>
      <c r="K79">
        <v>6.05</v>
      </c>
      <c r="L79">
        <f t="shared" si="3"/>
        <v>6.05</v>
      </c>
      <c r="M79">
        <f t="shared" si="4"/>
        <v>6.3</v>
      </c>
      <c r="N79">
        <f t="shared" si="5"/>
        <v>6.25</v>
      </c>
      <c r="O79">
        <f t="shared" si="6"/>
        <v>6.5</v>
      </c>
      <c r="Q79" t="s">
        <v>50</v>
      </c>
      <c r="R79">
        <v>5.65</v>
      </c>
      <c r="S79">
        <v>5.85</v>
      </c>
      <c r="T79">
        <v>6.1</v>
      </c>
      <c r="U79">
        <v>6.35</v>
      </c>
      <c r="V79">
        <v>6.3</v>
      </c>
      <c r="W79">
        <v>6.55</v>
      </c>
      <c r="X79">
        <f t="shared" si="7"/>
        <v>6.5</v>
      </c>
      <c r="Y79">
        <f t="shared" si="7"/>
        <v>6.75</v>
      </c>
      <c r="AA79" t="s">
        <v>50</v>
      </c>
      <c r="AB79">
        <f t="shared" si="8"/>
        <v>6.3999999999999995</v>
      </c>
      <c r="AC79">
        <f t="shared" si="9"/>
        <v>6.7499999999999991</v>
      </c>
      <c r="AD79">
        <f t="shared" si="10"/>
        <v>6.6</v>
      </c>
      <c r="AE79">
        <f t="shared" si="11"/>
        <v>6.9499999999999993</v>
      </c>
      <c r="AF79">
        <f t="shared" si="12"/>
        <v>6.8</v>
      </c>
      <c r="AG79">
        <f t="shared" si="13"/>
        <v>7.1499999999999995</v>
      </c>
      <c r="AH79">
        <v>7</v>
      </c>
      <c r="AI79">
        <v>7.35</v>
      </c>
      <c r="AK79" t="s">
        <v>50</v>
      </c>
      <c r="AL79">
        <v>5.85</v>
      </c>
      <c r="AM79">
        <v>6.15</v>
      </c>
      <c r="AN79">
        <v>6.5</v>
      </c>
      <c r="AO79">
        <v>6.85</v>
      </c>
      <c r="AP79">
        <v>6.5</v>
      </c>
      <c r="AQ79">
        <v>6.85</v>
      </c>
      <c r="AR79">
        <f t="shared" si="14"/>
        <v>6.6</v>
      </c>
      <c r="AS79">
        <f t="shared" si="15"/>
        <v>6.9499999999999993</v>
      </c>
    </row>
    <row r="80" spans="7:45" hidden="1" x14ac:dyDescent="0.2">
      <c r="G80" t="s">
        <v>76</v>
      </c>
      <c r="H80">
        <v>5.4</v>
      </c>
      <c r="I80">
        <v>5.65</v>
      </c>
      <c r="J80">
        <v>5.6</v>
      </c>
      <c r="K80">
        <v>5.95</v>
      </c>
      <c r="L80">
        <f t="shared" si="3"/>
        <v>5.85</v>
      </c>
      <c r="M80">
        <f t="shared" si="4"/>
        <v>6.2</v>
      </c>
      <c r="N80">
        <f t="shared" si="5"/>
        <v>6.05</v>
      </c>
      <c r="O80">
        <f t="shared" si="6"/>
        <v>6.4</v>
      </c>
      <c r="Q80" t="s">
        <v>76</v>
      </c>
      <c r="R80">
        <v>5.45</v>
      </c>
      <c r="S80">
        <v>5.7</v>
      </c>
      <c r="T80">
        <v>5.9</v>
      </c>
      <c r="U80">
        <v>6.2</v>
      </c>
      <c r="V80">
        <v>6.1</v>
      </c>
      <c r="W80">
        <v>6.4</v>
      </c>
      <c r="X80">
        <f t="shared" si="7"/>
        <v>6.3</v>
      </c>
      <c r="Y80">
        <f t="shared" si="7"/>
        <v>6.6000000000000005</v>
      </c>
      <c r="AA80" t="s">
        <v>76</v>
      </c>
      <c r="AB80">
        <f t="shared" si="8"/>
        <v>6.1999999999999993</v>
      </c>
      <c r="AC80">
        <f t="shared" si="9"/>
        <v>6.55</v>
      </c>
      <c r="AD80">
        <f t="shared" si="10"/>
        <v>6.3999999999999995</v>
      </c>
      <c r="AE80">
        <f t="shared" si="11"/>
        <v>6.75</v>
      </c>
      <c r="AF80">
        <f t="shared" si="12"/>
        <v>6.6</v>
      </c>
      <c r="AG80">
        <f t="shared" si="13"/>
        <v>6.95</v>
      </c>
      <c r="AH80">
        <v>6.8</v>
      </c>
      <c r="AI80">
        <v>7.15</v>
      </c>
      <c r="AK80" t="s">
        <v>76</v>
      </c>
      <c r="AL80">
        <v>5.7</v>
      </c>
      <c r="AM80">
        <v>6</v>
      </c>
      <c r="AN80">
        <v>6.35</v>
      </c>
      <c r="AO80">
        <v>6.7</v>
      </c>
      <c r="AP80">
        <v>6.35</v>
      </c>
      <c r="AQ80">
        <v>6.7</v>
      </c>
      <c r="AR80">
        <f t="shared" si="14"/>
        <v>6.4499999999999993</v>
      </c>
      <c r="AS80">
        <f t="shared" si="15"/>
        <v>6.8</v>
      </c>
    </row>
    <row r="81" spans="5:45" hidden="1" x14ac:dyDescent="0.2">
      <c r="G81" t="s">
        <v>77</v>
      </c>
      <c r="H81">
        <v>5.25</v>
      </c>
      <c r="I81">
        <v>5.5</v>
      </c>
      <c r="J81">
        <v>5.45</v>
      </c>
      <c r="K81">
        <v>5.8</v>
      </c>
      <c r="L81">
        <f t="shared" si="3"/>
        <v>5.7</v>
      </c>
      <c r="M81">
        <f t="shared" si="4"/>
        <v>6.05</v>
      </c>
      <c r="N81">
        <f t="shared" si="5"/>
        <v>5.9</v>
      </c>
      <c r="O81">
        <f t="shared" si="6"/>
        <v>6.25</v>
      </c>
      <c r="Q81" t="s">
        <v>77</v>
      </c>
      <c r="R81">
        <v>5.25</v>
      </c>
      <c r="S81">
        <v>5.5</v>
      </c>
      <c r="T81">
        <v>5.7</v>
      </c>
      <c r="U81">
        <v>6</v>
      </c>
      <c r="V81">
        <v>5.9</v>
      </c>
      <c r="W81">
        <v>6.2</v>
      </c>
      <c r="X81">
        <f t="shared" si="7"/>
        <v>6.1000000000000005</v>
      </c>
      <c r="Y81">
        <f t="shared" si="7"/>
        <v>6.4</v>
      </c>
      <c r="AA81" t="s">
        <v>77</v>
      </c>
      <c r="AB81">
        <f t="shared" si="8"/>
        <v>5.9999999999999991</v>
      </c>
      <c r="AC81">
        <f t="shared" si="9"/>
        <v>6.3999999999999995</v>
      </c>
      <c r="AD81">
        <f t="shared" si="10"/>
        <v>6.1999999999999993</v>
      </c>
      <c r="AE81">
        <f t="shared" si="11"/>
        <v>6.6</v>
      </c>
      <c r="AF81">
        <f t="shared" si="12"/>
        <v>6.3999999999999995</v>
      </c>
      <c r="AG81">
        <f t="shared" si="13"/>
        <v>6.8</v>
      </c>
      <c r="AH81">
        <v>6.6</v>
      </c>
      <c r="AI81">
        <v>7</v>
      </c>
      <c r="AK81" t="s">
        <v>77</v>
      </c>
      <c r="AL81">
        <v>5.6</v>
      </c>
      <c r="AM81">
        <v>5.9</v>
      </c>
      <c r="AN81">
        <v>6.25</v>
      </c>
      <c r="AO81">
        <v>6.55</v>
      </c>
      <c r="AP81">
        <v>6.25</v>
      </c>
      <c r="AQ81">
        <v>6.6</v>
      </c>
      <c r="AR81">
        <f t="shared" si="14"/>
        <v>6.35</v>
      </c>
      <c r="AS81">
        <f t="shared" si="15"/>
        <v>6.6999999999999993</v>
      </c>
    </row>
    <row r="82" spans="5:45" hidden="1" x14ac:dyDescent="0.2">
      <c r="G82" t="s">
        <v>46</v>
      </c>
      <c r="H82">
        <v>5.0999999999999996</v>
      </c>
      <c r="I82">
        <v>5.4</v>
      </c>
      <c r="J82">
        <v>5.3</v>
      </c>
      <c r="K82">
        <v>5.7</v>
      </c>
      <c r="L82">
        <f t="shared" si="3"/>
        <v>5.55</v>
      </c>
      <c r="M82">
        <f t="shared" si="4"/>
        <v>5.95</v>
      </c>
      <c r="N82">
        <f t="shared" si="5"/>
        <v>5.75</v>
      </c>
      <c r="O82">
        <f t="shared" si="6"/>
        <v>6.15</v>
      </c>
      <c r="Q82" t="s">
        <v>46</v>
      </c>
      <c r="R82">
        <v>5.0999999999999996</v>
      </c>
      <c r="S82">
        <v>5.4</v>
      </c>
      <c r="T82">
        <v>5.55</v>
      </c>
      <c r="U82">
        <v>5.85</v>
      </c>
      <c r="V82">
        <v>5.75</v>
      </c>
      <c r="W82">
        <v>5.95</v>
      </c>
      <c r="X82">
        <f t="shared" si="7"/>
        <v>5.95</v>
      </c>
      <c r="Y82">
        <f t="shared" si="7"/>
        <v>6.15</v>
      </c>
      <c r="AA82" t="s">
        <v>46</v>
      </c>
      <c r="AB82">
        <f t="shared" si="8"/>
        <v>5.8</v>
      </c>
      <c r="AC82">
        <f t="shared" si="9"/>
        <v>6.2499999999999991</v>
      </c>
      <c r="AD82">
        <f t="shared" si="10"/>
        <v>6</v>
      </c>
      <c r="AE82">
        <f t="shared" si="11"/>
        <v>6.4499999999999993</v>
      </c>
      <c r="AF82">
        <f t="shared" si="12"/>
        <v>6.2</v>
      </c>
      <c r="AG82">
        <f t="shared" si="13"/>
        <v>6.6499999999999995</v>
      </c>
      <c r="AH82">
        <v>6.4</v>
      </c>
      <c r="AI82">
        <v>6.85</v>
      </c>
      <c r="AK82" t="s">
        <v>46</v>
      </c>
      <c r="AL82">
        <v>5.5</v>
      </c>
      <c r="AM82">
        <v>5.8</v>
      </c>
      <c r="AN82">
        <v>6.1</v>
      </c>
      <c r="AO82">
        <v>6.45</v>
      </c>
      <c r="AP82">
        <v>6.15</v>
      </c>
      <c r="AQ82">
        <v>6.45</v>
      </c>
      <c r="AR82">
        <f t="shared" si="14"/>
        <v>6.25</v>
      </c>
      <c r="AS82">
        <f t="shared" si="15"/>
        <v>6.55</v>
      </c>
    </row>
    <row r="83" spans="5:45" hidden="1" x14ac:dyDescent="0.2">
      <c r="G83" t="s">
        <v>82</v>
      </c>
      <c r="H83">
        <v>4.95</v>
      </c>
      <c r="I83">
        <v>5.25</v>
      </c>
      <c r="J83">
        <v>5.05</v>
      </c>
      <c r="K83">
        <v>5.55</v>
      </c>
      <c r="L83">
        <f t="shared" si="3"/>
        <v>5.3</v>
      </c>
      <c r="M83">
        <f t="shared" si="4"/>
        <v>5.8</v>
      </c>
      <c r="N83">
        <f t="shared" si="5"/>
        <v>5.5</v>
      </c>
      <c r="O83">
        <f t="shared" si="6"/>
        <v>6</v>
      </c>
      <c r="Q83" t="s">
        <v>82</v>
      </c>
      <c r="R83">
        <v>4.95</v>
      </c>
      <c r="S83">
        <v>5.25</v>
      </c>
      <c r="T83">
        <v>5.4</v>
      </c>
      <c r="U83">
        <v>5.7</v>
      </c>
      <c r="V83">
        <v>5.6</v>
      </c>
      <c r="W83">
        <v>5.9</v>
      </c>
      <c r="X83">
        <f t="shared" si="7"/>
        <v>5.8</v>
      </c>
      <c r="Y83">
        <f t="shared" si="7"/>
        <v>6.1000000000000005</v>
      </c>
      <c r="AA83" t="s">
        <v>82</v>
      </c>
      <c r="AB83">
        <f t="shared" si="8"/>
        <v>5.6499999999999995</v>
      </c>
      <c r="AC83">
        <f t="shared" si="9"/>
        <v>6.1</v>
      </c>
      <c r="AD83">
        <f t="shared" si="10"/>
        <v>5.85</v>
      </c>
      <c r="AE83">
        <f t="shared" si="11"/>
        <v>6.3</v>
      </c>
      <c r="AF83">
        <f t="shared" si="12"/>
        <v>6.05</v>
      </c>
      <c r="AG83">
        <f t="shared" si="13"/>
        <v>6.5</v>
      </c>
      <c r="AH83">
        <v>6.25</v>
      </c>
      <c r="AI83">
        <v>6.7</v>
      </c>
      <c r="AK83" t="s">
        <v>82</v>
      </c>
      <c r="AL83">
        <v>5.4</v>
      </c>
      <c r="AM83">
        <v>5.7</v>
      </c>
      <c r="AN83">
        <v>6</v>
      </c>
      <c r="AO83">
        <v>6.3</v>
      </c>
      <c r="AP83">
        <v>6</v>
      </c>
      <c r="AQ83">
        <v>6.35</v>
      </c>
      <c r="AR83">
        <f t="shared" si="14"/>
        <v>6.1</v>
      </c>
      <c r="AS83">
        <f t="shared" si="15"/>
        <v>6.4499999999999993</v>
      </c>
    </row>
    <row r="84" spans="5:45" hidden="1" x14ac:dyDescent="0.2">
      <c r="G84" t="s">
        <v>45</v>
      </c>
      <c r="H84">
        <v>4.7</v>
      </c>
      <c r="I84">
        <v>5.05</v>
      </c>
      <c r="J84">
        <v>4.9000000000000004</v>
      </c>
      <c r="K84">
        <v>5.35</v>
      </c>
      <c r="L84">
        <f t="shared" si="3"/>
        <v>5.15</v>
      </c>
      <c r="M84">
        <f t="shared" si="4"/>
        <v>5.6</v>
      </c>
      <c r="N84">
        <f t="shared" si="5"/>
        <v>5.3500000000000005</v>
      </c>
      <c r="O84">
        <f t="shared" si="6"/>
        <v>5.8</v>
      </c>
      <c r="Q84" t="s">
        <v>45</v>
      </c>
      <c r="R84">
        <v>4.7</v>
      </c>
      <c r="S84">
        <v>5</v>
      </c>
      <c r="T84">
        <v>5.0999999999999996</v>
      </c>
      <c r="U84">
        <v>5.45</v>
      </c>
      <c r="V84">
        <v>5.3</v>
      </c>
      <c r="W84">
        <v>5.65</v>
      </c>
      <c r="X84">
        <f t="shared" si="7"/>
        <v>5.5</v>
      </c>
      <c r="Y84">
        <f t="shared" si="7"/>
        <v>5.8500000000000005</v>
      </c>
      <c r="AA84" t="s">
        <v>45</v>
      </c>
      <c r="AB84">
        <f t="shared" si="8"/>
        <v>5.3999999999999995</v>
      </c>
      <c r="AC84">
        <f t="shared" si="9"/>
        <v>5.85</v>
      </c>
      <c r="AD84">
        <f t="shared" si="10"/>
        <v>5.6</v>
      </c>
      <c r="AE84">
        <f t="shared" si="11"/>
        <v>6.05</v>
      </c>
      <c r="AF84">
        <f t="shared" si="12"/>
        <v>5.8</v>
      </c>
      <c r="AG84">
        <f t="shared" si="13"/>
        <v>6.25</v>
      </c>
      <c r="AH84">
        <v>6</v>
      </c>
      <c r="AI84">
        <v>6.45</v>
      </c>
      <c r="AK84" t="s">
        <v>45</v>
      </c>
      <c r="AL84">
        <v>5.2</v>
      </c>
      <c r="AM84">
        <v>5.5</v>
      </c>
      <c r="AN84">
        <v>5.75</v>
      </c>
      <c r="AO84">
        <v>6.1</v>
      </c>
      <c r="AP84">
        <v>5.8</v>
      </c>
      <c r="AQ84">
        <v>6.1</v>
      </c>
      <c r="AR84">
        <f t="shared" si="14"/>
        <v>5.8999999999999995</v>
      </c>
      <c r="AS84">
        <f t="shared" si="15"/>
        <v>6.1999999999999993</v>
      </c>
    </row>
    <row r="85" spans="5:45" hidden="1" x14ac:dyDescent="0.2">
      <c r="G85" t="s">
        <v>68</v>
      </c>
      <c r="H85">
        <v>4.5</v>
      </c>
      <c r="I85">
        <v>4.8499999999999996</v>
      </c>
      <c r="J85">
        <v>4.8</v>
      </c>
      <c r="K85">
        <v>5.15</v>
      </c>
      <c r="L85">
        <f t="shared" si="3"/>
        <v>5.05</v>
      </c>
      <c r="M85">
        <f t="shared" si="4"/>
        <v>5.4</v>
      </c>
      <c r="N85">
        <f t="shared" si="5"/>
        <v>5.25</v>
      </c>
      <c r="O85">
        <f t="shared" si="6"/>
        <v>5.6000000000000005</v>
      </c>
      <c r="Q85" t="s">
        <v>68</v>
      </c>
      <c r="R85">
        <v>4.5</v>
      </c>
      <c r="S85">
        <v>4.8</v>
      </c>
      <c r="T85">
        <v>4.9000000000000004</v>
      </c>
      <c r="U85">
        <v>5.25</v>
      </c>
      <c r="V85">
        <v>5.0999999999999996</v>
      </c>
      <c r="W85">
        <v>5.45</v>
      </c>
      <c r="X85">
        <f t="shared" si="7"/>
        <v>5.3</v>
      </c>
      <c r="Y85">
        <f t="shared" si="7"/>
        <v>5.65</v>
      </c>
      <c r="AA85" t="s">
        <v>68</v>
      </c>
      <c r="AB85">
        <f t="shared" si="8"/>
        <v>5.1499999999999995</v>
      </c>
      <c r="AC85">
        <f t="shared" si="9"/>
        <v>5.6</v>
      </c>
      <c r="AD85">
        <f t="shared" si="10"/>
        <v>5.35</v>
      </c>
      <c r="AE85">
        <f t="shared" si="11"/>
        <v>5.8</v>
      </c>
      <c r="AF85">
        <f t="shared" si="12"/>
        <v>5.55</v>
      </c>
      <c r="AG85">
        <f t="shared" si="13"/>
        <v>6</v>
      </c>
      <c r="AH85">
        <v>5.75</v>
      </c>
      <c r="AI85">
        <v>6.2</v>
      </c>
      <c r="AK85" t="s">
        <v>68</v>
      </c>
      <c r="AL85">
        <v>5.05</v>
      </c>
      <c r="AM85">
        <v>5.35</v>
      </c>
      <c r="AN85">
        <v>5.55</v>
      </c>
      <c r="AO85">
        <v>5.85</v>
      </c>
      <c r="AP85">
        <v>5.6</v>
      </c>
      <c r="AQ85">
        <v>5.9</v>
      </c>
      <c r="AR85">
        <f t="shared" si="14"/>
        <v>5.6999999999999993</v>
      </c>
      <c r="AS85">
        <f t="shared" si="15"/>
        <v>6</v>
      </c>
    </row>
    <row r="86" spans="5:45" hidden="1" x14ac:dyDescent="0.2">
      <c r="G86" t="s">
        <v>71</v>
      </c>
      <c r="H86" s="142">
        <v>236</v>
      </c>
      <c r="I86" s="142"/>
      <c r="J86" s="142">
        <v>229</v>
      </c>
      <c r="K86" s="142"/>
      <c r="L86" s="142">
        <v>251</v>
      </c>
      <c r="M86" s="142"/>
      <c r="N86" s="142">
        <v>274</v>
      </c>
      <c r="O86" s="142"/>
      <c r="R86" s="142">
        <v>194</v>
      </c>
      <c r="S86" s="142"/>
      <c r="T86" s="142">
        <v>257</v>
      </c>
      <c r="U86" s="142"/>
      <c r="V86" s="142">
        <v>280</v>
      </c>
      <c r="W86" s="142"/>
      <c r="X86" s="142">
        <v>263</v>
      </c>
      <c r="Y86" s="142"/>
      <c r="AB86" s="142">
        <v>255</v>
      </c>
      <c r="AC86" s="142"/>
      <c r="AD86" s="142">
        <v>295</v>
      </c>
      <c r="AE86" s="142"/>
      <c r="AF86" s="142">
        <v>318</v>
      </c>
      <c r="AG86" s="142"/>
      <c r="AH86" s="142">
        <v>341</v>
      </c>
      <c r="AI86" s="142"/>
      <c r="AL86" s="142">
        <v>255</v>
      </c>
      <c r="AM86" s="142"/>
      <c r="AN86" s="142">
        <v>295</v>
      </c>
      <c r="AO86" s="142"/>
      <c r="AP86" s="142">
        <v>318</v>
      </c>
      <c r="AQ86" s="142"/>
      <c r="AR86" s="142">
        <v>341</v>
      </c>
      <c r="AS86" s="142"/>
    </row>
    <row r="87" spans="5:45" hidden="1" x14ac:dyDescent="0.2">
      <c r="G87" t="s">
        <v>72</v>
      </c>
      <c r="H87" s="142">
        <v>74</v>
      </c>
      <c r="I87" s="142"/>
      <c r="J87" s="142">
        <v>81.5</v>
      </c>
      <c r="K87" s="142"/>
      <c r="L87" s="142">
        <v>91.5</v>
      </c>
      <c r="M87" s="142"/>
      <c r="N87" s="142">
        <v>101.5</v>
      </c>
      <c r="O87" s="142"/>
      <c r="R87" s="142">
        <v>68.5</v>
      </c>
      <c r="S87" s="142"/>
      <c r="T87" s="142">
        <v>72</v>
      </c>
      <c r="U87" s="142"/>
      <c r="V87" s="142">
        <v>82</v>
      </c>
      <c r="W87" s="142"/>
      <c r="X87" s="142">
        <v>98.5</v>
      </c>
      <c r="Y87" s="142"/>
      <c r="AB87" s="142">
        <v>84.5</v>
      </c>
      <c r="AC87" s="142"/>
      <c r="AD87" s="142">
        <v>88.5</v>
      </c>
      <c r="AE87" s="142"/>
      <c r="AF87" s="142">
        <v>96.5</v>
      </c>
      <c r="AG87" s="142"/>
      <c r="AH87" s="142">
        <v>106.5</v>
      </c>
      <c r="AI87" s="142"/>
      <c r="AL87" s="142">
        <v>84.5</v>
      </c>
      <c r="AM87" s="142"/>
      <c r="AN87" s="142">
        <v>88.5</v>
      </c>
      <c r="AO87" s="142"/>
      <c r="AP87" s="142">
        <v>96.5</v>
      </c>
      <c r="AQ87" s="142"/>
      <c r="AR87" s="142">
        <v>106.5</v>
      </c>
      <c r="AS87" s="142"/>
    </row>
    <row r="88" spans="5:4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5.65</v>
      </c>
      <c r="I88" s="113">
        <f>+VLOOKUP($G$88,$G$62:$O$85,3,FALSE)</f>
        <v>6.2</v>
      </c>
      <c r="J88" s="113">
        <f>+VLOOKUP($G$88,$G$62:$O$85,4,FALSE)</f>
        <v>5.85</v>
      </c>
      <c r="K88" s="113">
        <f>+VLOOKUP($G$88,$G$62:$O$85,5,FALSE)</f>
        <v>6.5</v>
      </c>
      <c r="L88" s="113">
        <f>+VLOOKUP($G$88,$G$62:$O$85,6,FALSE)</f>
        <v>6.1</v>
      </c>
      <c r="M88" s="113">
        <f>+VLOOKUP($G$88,$G$62:$O$85,7,FALSE)</f>
        <v>6.75</v>
      </c>
      <c r="N88" s="113">
        <f>+VLOOKUP($G$88,$G$62:$O$85,8,FALSE)</f>
        <v>6.3</v>
      </c>
      <c r="O88" s="113">
        <f>+VLOOKUP($G$88,$G$62:$O$85,9,FALSE)</f>
        <v>6.95</v>
      </c>
      <c r="Q88" t="str">
        <f>+DIM!$AK$20&amp;"+"&amp;DIM!$S$14</f>
        <v>251+150</v>
      </c>
      <c r="R88" s="113">
        <f>+VLOOKUP($Q$88,$Q$62:$Y$87,2,FALSE)</f>
        <v>5.7</v>
      </c>
      <c r="S88" s="113">
        <f>+VLOOKUP($Q$88,$Q$62:$Y$87,3,FALSE)</f>
        <v>6.25</v>
      </c>
      <c r="T88" s="113">
        <f>+VLOOKUP($Q$88,$Q$62:$Y$87,4,FALSE)</f>
        <v>6.15</v>
      </c>
      <c r="U88" s="113">
        <f>+VLOOKUP($Q$88,$Q$62:$Y$87,5,FALSE)</f>
        <v>6.75</v>
      </c>
      <c r="V88" s="113">
        <f>+VLOOKUP($Q$88,$Q$62:$Y$87,6,FALSE)</f>
        <v>6.35</v>
      </c>
      <c r="W88" s="113">
        <f>+VLOOKUP($Q$88,$Q$62:$Y$87,7,FALSE)</f>
        <v>6.95</v>
      </c>
      <c r="X88" s="113">
        <f>+VLOOKUP($Q$88,$Q$62:$Y$87,8,FALSE)</f>
        <v>6.55</v>
      </c>
      <c r="Y88" s="113">
        <f>+VLOOKUP($Q$88,$Q$62:$Y$87,9,FALSE)</f>
        <v>7.15</v>
      </c>
      <c r="AA88" t="str">
        <f>+DIM!$AK$20&amp;"+"&amp;DIM!$S$14</f>
        <v>251+150</v>
      </c>
      <c r="AB88" s="113">
        <f>+VLOOKUP($AA$88,$AA$62:$AI$85,2,FALSE)</f>
        <v>6.4499999999999993</v>
      </c>
      <c r="AC88" s="113">
        <f>+VLOOKUP($AA$88,$AA$62:$AI$85,3,FALSE)</f>
        <v>7.1499999999999995</v>
      </c>
      <c r="AD88" s="113">
        <f>+VLOOKUP($AA$88,$AA$62:$AI$85,4,FALSE)</f>
        <v>6.6499999999999995</v>
      </c>
      <c r="AE88" s="113">
        <f>+VLOOKUP($AA$88,$AA$62:$AI$85,5,FALSE)</f>
        <v>7.35</v>
      </c>
      <c r="AF88" s="113">
        <f>+VLOOKUP($AA$88,$AA$62:$AI$85,6,FALSE)</f>
        <v>6.85</v>
      </c>
      <c r="AG88" s="113">
        <f>+VLOOKUP($AA$88,$AA$62:$AI$85,7,FALSE)</f>
        <v>7.55</v>
      </c>
      <c r="AH88" s="113">
        <f>+VLOOKUP($AA$88,$AA$62:$AI$85,8,FALSE)</f>
        <v>7.05</v>
      </c>
      <c r="AI88" s="113">
        <f>+VLOOKUP($AA$88,$AA$62:$AI$85,9,FALSE)</f>
        <v>7.75</v>
      </c>
      <c r="AK88" t="str">
        <f>+DIM!$AK$20&amp;"+"&amp;DIM!$S$14</f>
        <v>251+150</v>
      </c>
      <c r="AL88" s="113">
        <f>+VLOOKUP($AK$88,$AK$62:$AS$85,2,FALSE)</f>
        <v>6.1</v>
      </c>
      <c r="AM88" s="113">
        <f>+VLOOKUP($AK$88,$AK$62:$AS$85,3,FALSE)</f>
        <v>6.4</v>
      </c>
      <c r="AN88" s="113">
        <f>+VLOOKUP($AK$88,$AK$62:$AS$85,4,FALSE)</f>
        <v>6.7</v>
      </c>
      <c r="AO88" s="113">
        <f>+VLOOKUP($AK$88,$AK$62:$AS$85,5,FALSE)</f>
        <v>7.25</v>
      </c>
      <c r="AP88" s="113">
        <f>+VLOOKUP($AK$88,$AK$62:$AS$85,6,FALSE)</f>
        <v>6.75</v>
      </c>
      <c r="AQ88" s="113">
        <f>+VLOOKUP($AK$88,$AK$62:$AS$85,7,FALSE)</f>
        <v>7.1</v>
      </c>
      <c r="AR88" s="113">
        <f>+VLOOKUP($AK$88,$AK$62:$AS$85,8,FALSE)</f>
        <v>6.8</v>
      </c>
      <c r="AS88" s="113">
        <f>+VLOOKUP($AK$88,$AK$62:$AS$85,9,FALSE)</f>
        <v>7.2</v>
      </c>
    </row>
    <row r="89" spans="5:45" hidden="1" x14ac:dyDescent="0.2">
      <c r="F89" t="s">
        <v>47</v>
      </c>
      <c r="G89" t="str">
        <f>+DIM!AD15</f>
        <v>AL</v>
      </c>
      <c r="H89" s="141">
        <f>+IF(DIM!$AD$15=H61,H88,I88)</f>
        <v>5.65</v>
      </c>
      <c r="I89" s="141"/>
      <c r="J89" s="141">
        <f>+IF(DIM!$AD$15=J61,J88,K88)</f>
        <v>5.85</v>
      </c>
      <c r="K89" s="141"/>
      <c r="L89" s="141">
        <f>+IF(DIM!$AD$15=L61,L88,M88)</f>
        <v>6.1</v>
      </c>
      <c r="M89" s="141"/>
      <c r="N89" s="141">
        <f>+IF(DIM!$AD$15=N61,N88,O88)</f>
        <v>6.3</v>
      </c>
      <c r="O89" s="141"/>
      <c r="Q89" t="str">
        <f>+DIM!AD15</f>
        <v>AL</v>
      </c>
      <c r="R89" s="143">
        <f>+IF(DIM!$AD$15=plastivs!$H$15,plastivs!R88,plastivs!S88)</f>
        <v>5.7</v>
      </c>
      <c r="S89" s="144"/>
      <c r="T89" s="143">
        <f>+IF(DIM!$AD$15=plastivs!$H$15,plastivs!T88,plastivs!U88)</f>
        <v>6.15</v>
      </c>
      <c r="U89" s="144"/>
      <c r="V89" s="143">
        <f>+IF(DIM!$AD$15=plastivs!$H$15,plastivs!V88,plastivs!W88)</f>
        <v>6.35</v>
      </c>
      <c r="W89" s="144"/>
      <c r="X89" s="143">
        <f>+IF(DIM!$AD$15=plastivs!$H$15,plastivs!X88,plastivs!Y88)</f>
        <v>6.55</v>
      </c>
      <c r="Y89" s="144"/>
      <c r="AA89" t="str">
        <f>+DIM!AD15</f>
        <v>AL</v>
      </c>
      <c r="AB89" s="143">
        <f>+IF(DIM!$AD$15=plastivs!$H$15,plastivs!AB88,plastivs!AC88)</f>
        <v>6.4499999999999993</v>
      </c>
      <c r="AC89" s="144"/>
      <c r="AD89" s="143">
        <f>+IF(DIM!$AD$15=plastivs!$H$15,plastivs!AD88,plastivs!AE88)</f>
        <v>6.6499999999999995</v>
      </c>
      <c r="AE89" s="144"/>
      <c r="AF89" s="143">
        <f>+IF(DIM!$AD$15=plastivs!$H$15,plastivs!AF88,plastivs!AG88)</f>
        <v>6.85</v>
      </c>
      <c r="AG89" s="144"/>
      <c r="AH89" s="143">
        <f>+IF(DIM!$AD$15=plastivs!$H$15,plastivs!AH88,plastivs!AI88)</f>
        <v>7.05</v>
      </c>
      <c r="AI89" s="144"/>
      <c r="AK89" t="str">
        <f>+DIM!AD15</f>
        <v>AL</v>
      </c>
      <c r="AL89" s="143">
        <f>+IF(DIM!$AD$15=plastivs!$H$15,plastivs!AL88,plastivs!AM88)</f>
        <v>6.1</v>
      </c>
      <c r="AM89" s="144"/>
      <c r="AN89" s="143">
        <f>+IF(DIM!$AD$15=plastivs!$H$15,plastivs!AN88,plastivs!AO88)</f>
        <v>6.7</v>
      </c>
      <c r="AO89" s="144"/>
      <c r="AP89" s="143">
        <f>+IF(DIM!$AD$15=plastivs!$H$15,plastivs!AP88,plastivs!AQ88)</f>
        <v>6.75</v>
      </c>
      <c r="AQ89" s="144"/>
      <c r="AR89" s="143">
        <f>+IF(DIM!$AD$15=plastivs!$H$15,plastivs!AR88,plastivs!AS88)</f>
        <v>6.8</v>
      </c>
      <c r="AS89" s="144"/>
    </row>
    <row r="90" spans="5:45" hidden="1" x14ac:dyDescent="0.2">
      <c r="F90" t="s">
        <v>48</v>
      </c>
      <c r="G90" s="113">
        <f>+DIM!S31</f>
        <v>5</v>
      </c>
      <c r="K90" s="115">
        <f>+HLOOKUP(G90,H60:O89,30,FALSE)</f>
        <v>5.65</v>
      </c>
      <c r="Q90" s="113">
        <f>+DIM!S31</f>
        <v>5</v>
      </c>
      <c r="U90" s="115">
        <f>+HLOOKUP(Q90,R60:Y89,30,FALSE)</f>
        <v>5.7</v>
      </c>
      <c r="AA90" s="113">
        <f>+DIM!S31</f>
        <v>5</v>
      </c>
      <c r="AE90" s="115">
        <f>+HLOOKUP(AA90,AB60:AI89,30,FALSE)</f>
        <v>6.4499999999999993</v>
      </c>
      <c r="AK90" s="113">
        <f>+DIM!S31</f>
        <v>5</v>
      </c>
      <c r="AO90" s="115">
        <f>+HLOOKUP(AK90,AL60:AS89,30,FALSE)</f>
        <v>6.1</v>
      </c>
    </row>
    <row r="91" spans="5:45" hidden="1" x14ac:dyDescent="0.2">
      <c r="E91">
        <f>+DIM!Q31</f>
        <v>12</v>
      </c>
      <c r="F91" t="s">
        <v>65</v>
      </c>
      <c r="K91" s="116" t="str">
        <f>+K56&amp;"+"&amp;G90</f>
        <v>12+5</v>
      </c>
      <c r="U91" s="116" t="str">
        <f>+U56&amp;"+"&amp;Q90</f>
        <v>12+5</v>
      </c>
      <c r="AE91" s="116" t="str">
        <f>+AE56&amp;"+"&amp;AA90</f>
        <v>15+5</v>
      </c>
      <c r="AO91" s="116" t="str">
        <f>+AO56&amp;"+"&amp;AK90</f>
        <v>15+5</v>
      </c>
    </row>
    <row r="92" spans="5:45" hidden="1" x14ac:dyDescent="0.2">
      <c r="F92" t="s">
        <v>66</v>
      </c>
      <c r="G92" t="str">
        <f>+G46</f>
        <v>avec etai</v>
      </c>
      <c r="K92" s="111">
        <f>+HLOOKUP(G90,H60:O86,27,FALSE)</f>
        <v>236</v>
      </c>
      <c r="U92" s="111">
        <f>+HLOOKUP(Q90,R60:Y86,27,FALSE)</f>
        <v>194</v>
      </c>
      <c r="AE92" s="111">
        <f>+HLOOKUP(AA90,AB60:AI86,27,FALSE)</f>
        <v>255</v>
      </c>
      <c r="AO92" s="111">
        <f>+HLOOKUP(AK90,AL60:AS86,27,FALSE)</f>
        <v>255</v>
      </c>
    </row>
    <row r="93" spans="5:45" hidden="1" x14ac:dyDescent="0.2">
      <c r="F93">
        <v>12</v>
      </c>
      <c r="G93">
        <f>+IF($G$46="avec etai",K90,U90)</f>
        <v>5.65</v>
      </c>
      <c r="H93">
        <f>+IF($G$46="avec etai",K92,U92)</f>
        <v>236</v>
      </c>
      <c r="I93">
        <f>+IF($G$46="avec etai",K93,U93)</f>
        <v>74</v>
      </c>
      <c r="K93" s="111">
        <f>+HLOOKUP(G90,H60:O87,28,FALSE)</f>
        <v>74</v>
      </c>
      <c r="U93" s="111">
        <f>+HLOOKUP(Q90,R60:Y87,28,FALSE)</f>
        <v>68.5</v>
      </c>
      <c r="AE93" s="111">
        <f>+HLOOKUP(AA90,AB60:AI87,28,FALSE)</f>
        <v>84.5</v>
      </c>
      <c r="AO93" s="111">
        <f>+HLOOKUP(AK90,AL60:AS87,28,FALSE)</f>
        <v>84.5</v>
      </c>
    </row>
    <row r="94" spans="5:45" hidden="1" x14ac:dyDescent="0.2">
      <c r="F94">
        <v>15</v>
      </c>
      <c r="G94">
        <f>+IF($G$46="avec etai",AE90,AO90)</f>
        <v>6.4499999999999993</v>
      </c>
      <c r="H94">
        <f>+IF($G$46="avec etai",AE92,AO92)</f>
        <v>255</v>
      </c>
      <c r="I94">
        <f>+IF($G$46="avec etai",AE93,AO93)</f>
        <v>84.5</v>
      </c>
    </row>
    <row r="95" spans="5:45" ht="19.5" hidden="1" x14ac:dyDescent="0.35">
      <c r="F95">
        <v>20</v>
      </c>
      <c r="G95" t="s">
        <v>101</v>
      </c>
      <c r="K95" s="110">
        <v>12</v>
      </c>
      <c r="L95" s="110" t="s">
        <v>87</v>
      </c>
      <c r="U95" s="110">
        <v>12</v>
      </c>
      <c r="V95" s="110" t="s">
        <v>87</v>
      </c>
      <c r="AE95" s="110">
        <v>15</v>
      </c>
      <c r="AF95" s="110" t="s">
        <v>87</v>
      </c>
      <c r="AO95" s="110">
        <v>15</v>
      </c>
      <c r="AP95" s="110" t="s">
        <v>87</v>
      </c>
    </row>
    <row r="96" spans="5:45" hidden="1" x14ac:dyDescent="0.2">
      <c r="E96" t="s">
        <v>70</v>
      </c>
      <c r="F96" t="s">
        <v>74</v>
      </c>
      <c r="G96">
        <f>IF($E$91&gt;15,"--",+VLOOKUP(DIM!Q31,plastivs!F93:I95,2,FALSE))</f>
        <v>5.65</v>
      </c>
      <c r="K96" s="111" t="s">
        <v>78</v>
      </c>
      <c r="U96" s="111" t="s">
        <v>83</v>
      </c>
      <c r="AE96" s="111" t="s">
        <v>84</v>
      </c>
      <c r="AO96" s="111" t="s">
        <v>79</v>
      </c>
    </row>
    <row r="97" spans="6:65" hidden="1" x14ac:dyDescent="0.2">
      <c r="F97" t="s">
        <v>75</v>
      </c>
      <c r="G97">
        <f>IF($E$91&gt;15,0,+VLOOKUP(DIM!Q31,plastivs!F93:I95,3,FALSE))</f>
        <v>236</v>
      </c>
    </row>
    <row r="98" spans="6:65" hidden="1" x14ac:dyDescent="0.2">
      <c r="F98" t="s">
        <v>72</v>
      </c>
      <c r="G98">
        <f>IF($E$91&gt;15,0,+VLOOKUP(DIM!Q31,plastivs!F93:I95,4,FALSE))</f>
        <v>74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1</v>
      </c>
      <c r="I102" s="142"/>
      <c r="J102" s="142">
        <f t="shared" ref="J102" si="16">+IF(J89&gt;$F$102,1,0)</f>
        <v>1</v>
      </c>
      <c r="K102" s="142"/>
      <c r="L102" s="142">
        <f t="shared" ref="L102" si="17">+IF(L89&gt;$F$102,1,0)</f>
        <v>1</v>
      </c>
      <c r="M102" s="142"/>
      <c r="N102" s="142">
        <f t="shared" ref="N102" si="18">+IF(N89&gt;$F$102,1,0)</f>
        <v>1</v>
      </c>
      <c r="O102" s="142"/>
      <c r="R102" s="142">
        <f t="shared" ref="R102:X102" si="19">+IF(R89&gt;$F$102,1,0)</f>
        <v>1</v>
      </c>
      <c r="S102" s="142"/>
      <c r="T102" s="142">
        <f t="shared" si="19"/>
        <v>1</v>
      </c>
      <c r="U102" s="142"/>
      <c r="V102" s="142">
        <f t="shared" si="19"/>
        <v>1</v>
      </c>
      <c r="W102" s="142"/>
      <c r="X102" s="142">
        <f t="shared" si="19"/>
        <v>1</v>
      </c>
      <c r="Y102" s="142"/>
      <c r="AB102" s="142">
        <f t="shared" ref="AB102:AH102" si="20">+IF(AB89&gt;$F$102,1,0)</f>
        <v>1</v>
      </c>
      <c r="AC102" s="142"/>
      <c r="AD102" s="142">
        <f t="shared" si="20"/>
        <v>1</v>
      </c>
      <c r="AE102" s="142"/>
      <c r="AF102" s="142">
        <f t="shared" si="20"/>
        <v>1</v>
      </c>
      <c r="AG102" s="142"/>
      <c r="AH102" s="142">
        <f t="shared" si="20"/>
        <v>1</v>
      </c>
      <c r="AI102" s="142"/>
      <c r="AL102" s="142">
        <f t="shared" ref="AL102:AR102" si="21">+IF(AL89&gt;$F$102,1,0)</f>
        <v>1</v>
      </c>
      <c r="AM102" s="142"/>
      <c r="AN102" s="142">
        <f t="shared" si="21"/>
        <v>1</v>
      </c>
      <c r="AO102" s="142"/>
      <c r="AP102" s="142">
        <f t="shared" si="21"/>
        <v>1</v>
      </c>
      <c r="AQ102" s="142"/>
      <c r="AR102" s="142">
        <f t="shared" si="21"/>
        <v>1</v>
      </c>
      <c r="AS102" s="142"/>
      <c r="AV102" s="142">
        <f t="shared" ref="AV102:BB102" si="22">+IF(AV89&gt;$F$102,1,0)</f>
        <v>0</v>
      </c>
      <c r="AW102" s="142"/>
      <c r="AX102" s="142">
        <f t="shared" si="22"/>
        <v>0</v>
      </c>
      <c r="AY102" s="142"/>
      <c r="AZ102" s="142">
        <f t="shared" si="22"/>
        <v>0</v>
      </c>
      <c r="BA102" s="142"/>
      <c r="BB102" s="142">
        <f t="shared" si="22"/>
        <v>0</v>
      </c>
      <c r="BC102" s="142"/>
      <c r="BF102" s="142">
        <f t="shared" ref="BF102:BL102" si="23">+IF(BF89&gt;$F$102,1,0)</f>
        <v>0</v>
      </c>
      <c r="BG102" s="142"/>
      <c r="BH102" s="142">
        <f t="shared" si="23"/>
        <v>0</v>
      </c>
      <c r="BI102" s="142"/>
      <c r="BJ102" s="142">
        <f t="shared" si="23"/>
        <v>0</v>
      </c>
      <c r="BK102" s="142"/>
      <c r="BL102" s="142">
        <f t="shared" si="23"/>
        <v>0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124</v>
      </c>
      <c r="L104" t="s">
        <v>130</v>
      </c>
      <c r="T104" t="s">
        <v>125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 t="str">
        <f>+IF(H102=1,H101,IF(J102=1,J101,IF(L102=1,L101,IF(N102=1,N101,0))))</f>
        <v>12+5</v>
      </c>
      <c r="L105" t="str">
        <f>+AE105</f>
        <v>15+5</v>
      </c>
      <c r="M105">
        <f>+AY105</f>
        <v>0</v>
      </c>
      <c r="U105" t="str">
        <f>+IF(R102=1,R101,IF(T102=1,T101,IF(V102=1,V101,IF(X102=1,X101,0))))</f>
        <v>12+5</v>
      </c>
      <c r="V105" t="str">
        <f>+AO105</f>
        <v>15+5</v>
      </c>
      <c r="W105">
        <f>+AY105</f>
        <v>0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>
        <f>+IF(AV102=1,AV101,IF(AX102=1,AX101,IF(AZ102=1,AZ101,IF(BB102=1,BB101,0))))</f>
        <v>0</v>
      </c>
      <c r="AZ105" s="49"/>
      <c r="BA105" s="49"/>
      <c r="BB105" s="49"/>
      <c r="BC105" s="49"/>
      <c r="BF105" s="49"/>
      <c r="BG105" s="49"/>
      <c r="BH105" s="49"/>
      <c r="BI105">
        <f>+IF(BF102=1,BF101,IF(BH102=1,BH101,IF(BJ102=1,BJ101,IF(BL102=1,BL101,0))))</f>
        <v>0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12+5</v>
      </c>
      <c r="T106" s="111" t="str">
        <f>+IF(U105&gt;0,U105,IF(V105&gt;0,V105,IF(W105&gt;0,W105,"hors limite")))</f>
        <v>12+5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236</v>
      </c>
      <c r="K107">
        <f>+HLOOKUP(J106,H59:O88,28,FALSE)</f>
        <v>236</v>
      </c>
      <c r="L107">
        <f>+HLOOKUP(L105,AB59:AI88,28,FALSE)</f>
        <v>255</v>
      </c>
      <c r="M107" t="e">
        <f>+HLOOKUP(M105,AV59:BC88,28,FALSE)</f>
        <v>#N/A</v>
      </c>
      <c r="T107" s="111">
        <f>+IF(U105&gt;0,U107,IF(V105&gt;0,V107,IF(W105&gt;0,W107,0)))</f>
        <v>194</v>
      </c>
      <c r="U107">
        <f>+HLOOKUP(U105,R59:Y88,28,FALSE)</f>
        <v>194</v>
      </c>
      <c r="V107">
        <f>+HLOOKUP(V105,AL59:AS88,28,FALSE)</f>
        <v>255</v>
      </c>
      <c r="W107" t="e">
        <f>+HLOOKUP(W105,BF59:BM88,25,FALSE)</f>
        <v>#N/A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74</v>
      </c>
      <c r="K108">
        <f>+HLOOKUP(J106,H59:O88,29,FALSE)</f>
        <v>74</v>
      </c>
      <c r="L108">
        <f>+HLOOKUP(L105,AB59:AI88,29,FALSE)</f>
        <v>84.5</v>
      </c>
      <c r="M108" t="e">
        <f>+HLOOKUP(M105,AV59:BC88,26,FALSE)</f>
        <v>#N/A</v>
      </c>
      <c r="T108" s="111">
        <f>+IF(U105&gt;0,U108,IF(V105&gt;0,V108,IF(W105&gt;0,W108,0)))</f>
        <v>68.5</v>
      </c>
      <c r="U108">
        <f>+HLOOKUP(U105,R59:Y88,29,FALSE)</f>
        <v>68.5</v>
      </c>
      <c r="V108">
        <f>+HLOOKUP(V105,AL59:AS88,29,FALSE)</f>
        <v>84.5</v>
      </c>
      <c r="W108" t="e">
        <f>+HLOOKUP(W105,BF59:BM88,26,FALSE)</f>
        <v>#N/A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24">+IF(J43&gt;$F$102,1,0)</f>
        <v>1</v>
      </c>
      <c r="K114" s="142"/>
      <c r="L114" s="142">
        <f t="shared" ref="L114" si="25">+IF(L43&gt;$F$102,1,0)</f>
        <v>1</v>
      </c>
      <c r="M114" s="142"/>
      <c r="N114" s="142">
        <f t="shared" ref="N114" si="26">+IF(N43&gt;$F$102,1,0)</f>
        <v>1</v>
      </c>
      <c r="O114" s="142"/>
      <c r="R114" s="142">
        <f>+IF(R43&gt;$F$102,1,0)</f>
        <v>0</v>
      </c>
      <c r="S114" s="142"/>
      <c r="T114" s="142">
        <f t="shared" ref="T114" si="27">+IF(T43&gt;$F$102,1,0)</f>
        <v>0</v>
      </c>
      <c r="U114" s="142"/>
      <c r="V114" s="142">
        <f t="shared" ref="V114" si="28">+IF(V43&gt;$F$102,1,0)</f>
        <v>0</v>
      </c>
      <c r="W114" s="142"/>
      <c r="X114" s="142">
        <f t="shared" ref="X114" si="29">+IF(X43&gt;$F$102,1,0)</f>
        <v>0</v>
      </c>
      <c r="Y114" s="142"/>
      <c r="AB114" s="142">
        <f>+IF(AB43&gt;$F$102,1,0)</f>
        <v>1</v>
      </c>
      <c r="AC114" s="142"/>
      <c r="AD114" s="142">
        <f t="shared" ref="AD114" si="30">+IF(AD43&gt;$F$102,1,0)</f>
        <v>1</v>
      </c>
      <c r="AE114" s="142"/>
      <c r="AF114" s="142">
        <f t="shared" ref="AF114" si="31">+IF(AF43&gt;$F$102,1,0)</f>
        <v>1</v>
      </c>
      <c r="AG114" s="142"/>
      <c r="AH114" s="142">
        <f t="shared" ref="AH114" si="32">+IF(AH43&gt;$F$102,1,0)</f>
        <v>1</v>
      </c>
      <c r="AI114" s="142"/>
      <c r="AL114" s="142">
        <f>+IF(AL43&gt;$F$102,1,0)</f>
        <v>1</v>
      </c>
      <c r="AM114" s="142"/>
      <c r="AN114" s="142">
        <f t="shared" ref="AN114" si="33">+IF(AN43&gt;$F$102,1,0)</f>
        <v>1</v>
      </c>
      <c r="AO114" s="142"/>
      <c r="AP114" s="142">
        <f t="shared" ref="AP114" si="34">+IF(AP43&gt;$F$102,1,0)</f>
        <v>1</v>
      </c>
      <c r="AQ114" s="142"/>
      <c r="AR114" s="142">
        <f t="shared" ref="AR114" si="35">+IF(AR43&gt;$F$102,1,0)</f>
        <v>1</v>
      </c>
      <c r="AS114" s="142"/>
      <c r="AV114" s="142">
        <f>+IF(AV43&gt;$F$102,1,0)</f>
        <v>0</v>
      </c>
      <c r="AW114" s="142"/>
      <c r="AX114" s="142">
        <f t="shared" ref="AX114" si="36">+IF(AX43&gt;$F$102,1,0)</f>
        <v>0</v>
      </c>
      <c r="AY114" s="142"/>
      <c r="AZ114" s="142">
        <f t="shared" ref="AZ114" si="37">+IF(AZ43&gt;$F$102,1,0)</f>
        <v>0</v>
      </c>
      <c r="BA114" s="142"/>
      <c r="BB114" s="142">
        <f t="shared" ref="BB114" si="38">+IF(BB43&gt;$F$102,1,0)</f>
        <v>0</v>
      </c>
      <c r="BC114" s="142"/>
      <c r="BF114" s="142">
        <f>+IF(BF43&gt;$F$102,1,0)</f>
        <v>0</v>
      </c>
      <c r="BG114" s="142"/>
      <c r="BH114" s="142">
        <f t="shared" ref="BH114" si="39">+IF(BH43&gt;$F$102,1,0)</f>
        <v>0</v>
      </c>
      <c r="BI114" s="142"/>
      <c r="BJ114" s="142">
        <f t="shared" ref="BJ114" si="40">+IF(BJ43&gt;$F$102,1,0)</f>
        <v>0</v>
      </c>
      <c r="BK114" s="142"/>
      <c r="BL114" s="142">
        <f t="shared" ref="BL114" si="41">+IF(BL43&gt;$F$102,1,0)</f>
        <v>0</v>
      </c>
      <c r="BM114" s="142"/>
    </row>
    <row r="115" spans="6:65" hidden="1" x14ac:dyDescent="0.2"/>
    <row r="116" spans="6:65" hidden="1" x14ac:dyDescent="0.2">
      <c r="J116" t="s">
        <v>124</v>
      </c>
      <c r="L116" t="s">
        <v>88</v>
      </c>
      <c r="T116" t="s">
        <v>125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>
        <f>+AY117</f>
        <v>0</v>
      </c>
      <c r="U117">
        <f>+IF(R114=1,R113,IF(T114=1,T113,IF(V114=1,V113,IF(X114=1,X113,0))))</f>
        <v>0</v>
      </c>
      <c r="V117" t="str">
        <f>+AO117</f>
        <v>15+5</v>
      </c>
      <c r="W117">
        <f>+BI117</f>
        <v>0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>
        <f>+IF(AV114=1,AV113,IF(AX114=1,AX113,IF(AZ114=1,AZ113,IF(BB114=1,BB113,0))))</f>
        <v>0</v>
      </c>
      <c r="BI117">
        <f>+IF(BF114=1,BF113,IF(BH114=1,BH113,IF(BJ114=1,BJ113,IF(BL114=1,BL113,0))))</f>
        <v>0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205</v>
      </c>
      <c r="K119">
        <f>+HLOOKUP(J118,H13:O42,28,FALSE)</f>
        <v>205</v>
      </c>
      <c r="L119">
        <f>+HLOOKUP(L117,AB13:AI41,28,FALSE)</f>
        <v>238</v>
      </c>
      <c r="M119" t="e">
        <f>+HLOOKUP(M117,AV13:BC41,25,FALSE)</f>
        <v>#N/A</v>
      </c>
      <c r="T119" s="111">
        <f>+IF(U117&gt;0,U119,IF(V117&gt;0,V119,IF(W117&gt;0,W119,0)))</f>
        <v>225</v>
      </c>
      <c r="U119" t="e">
        <f>+HLOOKUP(U117,R13:Y41,28,FALSE)</f>
        <v>#N/A</v>
      </c>
      <c r="V119">
        <f>+HLOOKUP(V117,AL13:AS41,28,FALSE)</f>
        <v>225</v>
      </c>
      <c r="W119" t="e">
        <f>+HLOOKUP(W117,BF13:BM41,25,FALSE)</f>
        <v>#N/A</v>
      </c>
    </row>
    <row r="120" spans="6:65" hidden="1" x14ac:dyDescent="0.2">
      <c r="I120" t="s">
        <v>72</v>
      </c>
      <c r="J120" s="111">
        <f>+IF(K117&gt;0,K120,IF(L117&gt;0,L120,IF(M117&gt;0,M120,0)))</f>
        <v>71.5</v>
      </c>
      <c r="K120">
        <f>+HLOOKUP(J118,H13:O41,29,FALSE)</f>
        <v>71.5</v>
      </c>
      <c r="L120">
        <f>+HLOOKUP(L117,AB13:AI41,29,FALSE)</f>
        <v>82.5</v>
      </c>
      <c r="M120" t="e">
        <f>+HLOOKUP(M117,AV13:BC92,26,FALSE)</f>
        <v>#N/A</v>
      </c>
      <c r="T120" s="111">
        <f>+IF(U117&gt;0,U120,IF(V117&gt;0,V120,IF(W117&gt;0,W120,0)))</f>
        <v>82</v>
      </c>
      <c r="U120" t="e">
        <f>+HLOOKUP(U117,R13:Y41,29,FALSE)</f>
        <v>#N/A</v>
      </c>
      <c r="V120">
        <f>+HLOOKUP(V117,AL13:AS41,29,FALSE)</f>
        <v>82</v>
      </c>
      <c r="W120" t="e">
        <f>+HLOOKUP(W117,BF13:BM41,26,FALSE)</f>
        <v>#N/A</v>
      </c>
    </row>
    <row r="121" spans="6:65" hidden="1" x14ac:dyDescent="0.2"/>
    <row r="122" spans="6:65" hidden="1" x14ac:dyDescent="0.2"/>
    <row r="123" spans="6:65" hidden="1" x14ac:dyDescent="0.2"/>
  </sheetData>
  <sheetProtection algorithmName="SHA-512" hashValue="YvMPkCdphkgPBF4pIiSYqruTeJhJ6IoNh9uBx6UIxNBbxaP92rDtds0YkdW+b9w8SEBOeFmKa04VAD9io2d1qQ==" saltValue="NjG8uD624dNWhV0IL0kP3w==" spinCount="100000" sheet="1" objects="1" scenarios="1"/>
  <mergeCells count="272">
    <mergeCell ref="AR89:AS89"/>
    <mergeCell ref="AR87:AS87"/>
    <mergeCell ref="H89:I89"/>
    <mergeCell ref="J89:K89"/>
    <mergeCell ref="L89:M89"/>
    <mergeCell ref="N89:O89"/>
    <mergeCell ref="R89:S89"/>
    <mergeCell ref="T89:U89"/>
    <mergeCell ref="V89:W89"/>
    <mergeCell ref="X89:Y89"/>
    <mergeCell ref="AB89:AC89"/>
    <mergeCell ref="AD89:AE89"/>
    <mergeCell ref="AF89:AG89"/>
    <mergeCell ref="AH89:AI89"/>
    <mergeCell ref="AL89:AM89"/>
    <mergeCell ref="AN89:AO89"/>
    <mergeCell ref="AP89:AQ89"/>
    <mergeCell ref="AR86:AS86"/>
    <mergeCell ref="H87:I87"/>
    <mergeCell ref="J87:K87"/>
    <mergeCell ref="L87:M87"/>
    <mergeCell ref="N87:O87"/>
    <mergeCell ref="R87:S87"/>
    <mergeCell ref="T87:U87"/>
    <mergeCell ref="V87:W87"/>
    <mergeCell ref="X87:Y87"/>
    <mergeCell ref="AB87:AC87"/>
    <mergeCell ref="AD87:AE87"/>
    <mergeCell ref="AF87:AG87"/>
    <mergeCell ref="AH87:AI87"/>
    <mergeCell ref="AL87:AM87"/>
    <mergeCell ref="AN87:AO87"/>
    <mergeCell ref="AP87:AQ87"/>
    <mergeCell ref="AR60:AS60"/>
    <mergeCell ref="H86:I86"/>
    <mergeCell ref="J86:K86"/>
    <mergeCell ref="L86:M86"/>
    <mergeCell ref="N86:O86"/>
    <mergeCell ref="R86:S86"/>
    <mergeCell ref="T86:U86"/>
    <mergeCell ref="V86:W86"/>
    <mergeCell ref="X86:Y86"/>
    <mergeCell ref="AB86:AC86"/>
    <mergeCell ref="AD86:AE86"/>
    <mergeCell ref="AF86:AG86"/>
    <mergeCell ref="AH86:AI86"/>
    <mergeCell ref="AL86:AM86"/>
    <mergeCell ref="AN86:AO86"/>
    <mergeCell ref="AP86:AQ86"/>
    <mergeCell ref="AF60:AG60"/>
    <mergeCell ref="AH60:AI60"/>
    <mergeCell ref="AL60:AM60"/>
    <mergeCell ref="AN60:AO60"/>
    <mergeCell ref="AP60:AQ60"/>
    <mergeCell ref="T60:U60"/>
    <mergeCell ref="V60:W60"/>
    <mergeCell ref="X60:Y60"/>
    <mergeCell ref="AB60:AC60"/>
    <mergeCell ref="AD60:AE60"/>
    <mergeCell ref="H60:I60"/>
    <mergeCell ref="J60:K60"/>
    <mergeCell ref="L60:M60"/>
    <mergeCell ref="N60:O60"/>
    <mergeCell ref="R60:S60"/>
    <mergeCell ref="H14:I14"/>
    <mergeCell ref="J14:K14"/>
    <mergeCell ref="L14:M14"/>
    <mergeCell ref="N14:O14"/>
    <mergeCell ref="R14:S14"/>
    <mergeCell ref="T40:U40"/>
    <mergeCell ref="T14:U14"/>
    <mergeCell ref="T43:U43"/>
    <mergeCell ref="V41:W41"/>
    <mergeCell ref="X41:Y41"/>
    <mergeCell ref="AB41:AC41"/>
    <mergeCell ref="AD41:AE41"/>
    <mergeCell ref="H59:I59"/>
    <mergeCell ref="J59:K59"/>
    <mergeCell ref="L59:M59"/>
    <mergeCell ref="N59:O59"/>
    <mergeCell ref="R59:S59"/>
    <mergeCell ref="AL14:AM14"/>
    <mergeCell ref="AN14:AO14"/>
    <mergeCell ref="AP14:AQ14"/>
    <mergeCell ref="AR14:AS14"/>
    <mergeCell ref="V14:W14"/>
    <mergeCell ref="X14:Y14"/>
    <mergeCell ref="AB14:AC14"/>
    <mergeCell ref="AD14:AE14"/>
    <mergeCell ref="AF14:AG14"/>
    <mergeCell ref="AH14:AI14"/>
    <mergeCell ref="AL40:AM40"/>
    <mergeCell ref="AN40:AO40"/>
    <mergeCell ref="AP40:AQ40"/>
    <mergeCell ref="AR40:AS40"/>
    <mergeCell ref="AH40:AI40"/>
    <mergeCell ref="H41:I41"/>
    <mergeCell ref="J41:K41"/>
    <mergeCell ref="L41:M41"/>
    <mergeCell ref="N41:O41"/>
    <mergeCell ref="R41:S41"/>
    <mergeCell ref="V40:W40"/>
    <mergeCell ref="X40:Y40"/>
    <mergeCell ref="AB40:AC40"/>
    <mergeCell ref="AD40:AE40"/>
    <mergeCell ref="AF40:AG40"/>
    <mergeCell ref="H40:I40"/>
    <mergeCell ref="J40:K40"/>
    <mergeCell ref="L40:M40"/>
    <mergeCell ref="N40:O40"/>
    <mergeCell ref="R40:S40"/>
    <mergeCell ref="AL41:AM41"/>
    <mergeCell ref="AN41:AO41"/>
    <mergeCell ref="AP41:AQ41"/>
    <mergeCell ref="AR41:AS41"/>
    <mergeCell ref="AF41:AG41"/>
    <mergeCell ref="AH41:AI41"/>
    <mergeCell ref="T41:U41"/>
    <mergeCell ref="AL43:AM43"/>
    <mergeCell ref="AN43:AO43"/>
    <mergeCell ref="AP43:AQ43"/>
    <mergeCell ref="AR43:AS43"/>
    <mergeCell ref="H43:I43"/>
    <mergeCell ref="J43:K43"/>
    <mergeCell ref="L43:M43"/>
    <mergeCell ref="N43:O43"/>
    <mergeCell ref="R43:S43"/>
    <mergeCell ref="AH43:AI43"/>
    <mergeCell ref="V43:W43"/>
    <mergeCell ref="X43:Y43"/>
    <mergeCell ref="AB43:AC43"/>
    <mergeCell ref="AD43:AE43"/>
    <mergeCell ref="AF43:AG43"/>
    <mergeCell ref="T59:U59"/>
    <mergeCell ref="V59:W59"/>
    <mergeCell ref="X59:Y59"/>
    <mergeCell ref="AB59:AC59"/>
    <mergeCell ref="AD59:AE59"/>
    <mergeCell ref="AF59:AG59"/>
    <mergeCell ref="AH59:AI59"/>
    <mergeCell ref="AL59:AM59"/>
    <mergeCell ref="AN59:AO59"/>
    <mergeCell ref="BJ13:BK13"/>
    <mergeCell ref="AP59:AQ59"/>
    <mergeCell ref="AR59:AS59"/>
    <mergeCell ref="AV59:AW59"/>
    <mergeCell ref="AX59:AY59"/>
    <mergeCell ref="AZ59:BA59"/>
    <mergeCell ref="BB59:BC59"/>
    <mergeCell ref="BF59:BG59"/>
    <mergeCell ref="BH59:BI59"/>
    <mergeCell ref="BJ59:BK59"/>
    <mergeCell ref="BJ101:BK101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02:BK102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01:BA101"/>
    <mergeCell ref="BB101:BC101"/>
    <mergeCell ref="BF101:BG101"/>
    <mergeCell ref="BH101:BI101"/>
    <mergeCell ref="BJ113:BK113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02:BA102"/>
    <mergeCell ref="BB102:BC102"/>
    <mergeCell ref="BF102:BG102"/>
    <mergeCell ref="BH102:BI102"/>
    <mergeCell ref="BJ114:BK114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AZ113:BA113"/>
    <mergeCell ref="BB113:BC113"/>
    <mergeCell ref="BF113:BG113"/>
    <mergeCell ref="BH113:BI113"/>
    <mergeCell ref="BL114:BM114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  <mergeCell ref="AZ114:BA114"/>
    <mergeCell ref="BB114:BC114"/>
    <mergeCell ref="BF114:BG114"/>
    <mergeCell ref="BH114:BI1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60AF7-F84C-46B8-BC53-F3FCF5ED97BA}">
  <dimension ref="E4:BM127"/>
  <sheetViews>
    <sheetView showGridLines="0" showRowColHeaders="0" zoomScale="115" zoomScaleNormal="115" workbookViewId="0">
      <selection activeCell="G152" sqref="G152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4" spans="7:65" hidden="1" x14ac:dyDescent="0.2"/>
    <row r="5" spans="7:65" hidden="1" x14ac:dyDescent="0.2"/>
    <row r="6" spans="7:65" hidden="1" x14ac:dyDescent="0.2"/>
    <row r="7" spans="7:65" hidden="1" x14ac:dyDescent="0.2"/>
    <row r="8" spans="7:65" hidden="1" x14ac:dyDescent="0.2"/>
    <row r="9" spans="7:65" hidden="1" x14ac:dyDescent="0.2"/>
    <row r="10" spans="7:65" ht="19.5" hidden="1" x14ac:dyDescent="0.35">
      <c r="K10" s="110" t="s">
        <v>56</v>
      </c>
      <c r="U10" s="110" t="s">
        <v>56</v>
      </c>
      <c r="AE10" s="110" t="s">
        <v>57</v>
      </c>
      <c r="AO10" s="110" t="s">
        <v>57</v>
      </c>
      <c r="AY10" s="110" t="s">
        <v>58</v>
      </c>
      <c r="BI10" s="110" t="s">
        <v>58</v>
      </c>
    </row>
    <row r="11" spans="7:65" hidden="1" x14ac:dyDescent="0.2">
      <c r="K11" s="111" t="s">
        <v>78</v>
      </c>
      <c r="U11" s="111" t="s">
        <v>83</v>
      </c>
      <c r="AE11" s="111" t="s">
        <v>84</v>
      </c>
      <c r="AO11" s="111" t="s">
        <v>79</v>
      </c>
      <c r="AY11" s="111" t="s">
        <v>84</v>
      </c>
      <c r="BI11" s="111" t="s">
        <v>79</v>
      </c>
    </row>
    <row r="12" spans="7:65" hidden="1" x14ac:dyDescent="0.2">
      <c r="AB12">
        <v>158</v>
      </c>
      <c r="AD12">
        <v>179</v>
      </c>
      <c r="AF12">
        <v>189</v>
      </c>
      <c r="AH12">
        <v>189</v>
      </c>
    </row>
    <row r="13" spans="7:65" hidden="1" x14ac:dyDescent="0.2">
      <c r="H13" s="141" t="s">
        <v>132</v>
      </c>
      <c r="I13" s="141"/>
      <c r="J13" s="141" t="s">
        <v>133</v>
      </c>
      <c r="K13" s="141"/>
      <c r="L13" s="141" t="s">
        <v>134</v>
      </c>
      <c r="M13" s="141"/>
      <c r="N13" s="141" t="s">
        <v>135</v>
      </c>
      <c r="O13" s="141"/>
      <c r="R13" s="141" t="s">
        <v>132</v>
      </c>
      <c r="S13" s="141"/>
      <c r="T13" s="141" t="s">
        <v>133</v>
      </c>
      <c r="U13" s="141"/>
      <c r="V13" s="141" t="s">
        <v>134</v>
      </c>
      <c r="W13" s="141"/>
      <c r="X13" s="141" t="s">
        <v>135</v>
      </c>
      <c r="Y13" s="141"/>
      <c r="AB13" s="141" t="s">
        <v>136</v>
      </c>
      <c r="AC13" s="141"/>
      <c r="AD13" s="141" t="s">
        <v>137</v>
      </c>
      <c r="AE13" s="141"/>
      <c r="AF13" s="141" t="s">
        <v>138</v>
      </c>
      <c r="AG13" s="141"/>
      <c r="AH13" s="141" t="s">
        <v>139</v>
      </c>
      <c r="AI13" s="141"/>
      <c r="AL13" s="141" t="s">
        <v>136</v>
      </c>
      <c r="AM13" s="141"/>
      <c r="AN13" s="141" t="s">
        <v>137</v>
      </c>
      <c r="AO13" s="141"/>
      <c r="AP13" s="141" t="s">
        <v>138</v>
      </c>
      <c r="AQ13" s="141"/>
      <c r="AR13" s="141" t="s">
        <v>139</v>
      </c>
      <c r="AS13" s="141"/>
      <c r="AV13" s="141" t="s">
        <v>140</v>
      </c>
      <c r="AW13" s="141"/>
      <c r="AX13" s="141" t="s">
        <v>141</v>
      </c>
      <c r="AY13" s="141"/>
      <c r="AZ13" s="141" t="s">
        <v>142</v>
      </c>
      <c r="BA13" s="141"/>
      <c r="BB13" s="141" t="s">
        <v>143</v>
      </c>
      <c r="BC13" s="141"/>
      <c r="BF13" s="141" t="s">
        <v>140</v>
      </c>
      <c r="BG13" s="141"/>
      <c r="BH13" s="141" t="s">
        <v>141</v>
      </c>
      <c r="BI13" s="141"/>
      <c r="BJ13" s="141" t="s">
        <v>142</v>
      </c>
      <c r="BK13" s="141"/>
      <c r="BL13" s="141" t="s">
        <v>143</v>
      </c>
      <c r="BM13" s="141"/>
    </row>
    <row r="14" spans="7:6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</row>
    <row r="15" spans="7:6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65" hidden="1" x14ac:dyDescent="0.2">
      <c r="G16" t="s">
        <v>166</v>
      </c>
      <c r="H16">
        <v>6.6</v>
      </c>
      <c r="I16">
        <v>7</v>
      </c>
      <c r="J16">
        <v>6.75</v>
      </c>
      <c r="K16">
        <v>7.13</v>
      </c>
      <c r="L16">
        <v>6.85</v>
      </c>
      <c r="M16">
        <v>7.2</v>
      </c>
      <c r="N16">
        <v>6.9</v>
      </c>
      <c r="O16">
        <v>7.3</v>
      </c>
      <c r="Q16" t="s">
        <v>166</v>
      </c>
      <c r="R16">
        <v>5.2</v>
      </c>
      <c r="S16">
        <v>5.2</v>
      </c>
      <c r="T16">
        <v>5</v>
      </c>
      <c r="U16">
        <v>5</v>
      </c>
      <c r="V16">
        <v>5</v>
      </c>
      <c r="W16">
        <v>4.9000000000000004</v>
      </c>
      <c r="X16">
        <v>4.7</v>
      </c>
      <c r="Y16">
        <v>4.7</v>
      </c>
      <c r="AA16" t="s">
        <v>166</v>
      </c>
      <c r="AB16">
        <v>8.1999999999999993</v>
      </c>
      <c r="AC16">
        <v>8.75</v>
      </c>
      <c r="AD16">
        <v>8.3000000000000007</v>
      </c>
      <c r="AE16">
        <v>8.9</v>
      </c>
      <c r="AF16">
        <v>8.4499999999999993</v>
      </c>
      <c r="AG16">
        <v>9</v>
      </c>
      <c r="AH16">
        <v>8.5500000000000007</v>
      </c>
      <c r="AI16">
        <v>9</v>
      </c>
      <c r="AK16" t="s">
        <v>166</v>
      </c>
      <c r="AL16">
        <v>6.95</v>
      </c>
      <c r="AM16">
        <v>6.95</v>
      </c>
      <c r="AN16">
        <f>+AL16-0.1</f>
        <v>6.8500000000000005</v>
      </c>
      <c r="AO16">
        <v>6.7</v>
      </c>
      <c r="AP16">
        <v>6.5</v>
      </c>
      <c r="AQ16">
        <v>6.5</v>
      </c>
      <c r="AR16">
        <v>6.3</v>
      </c>
      <c r="AS16">
        <v>6.3</v>
      </c>
      <c r="AU16" t="s">
        <v>166</v>
      </c>
      <c r="AV16">
        <v>9</v>
      </c>
      <c r="AW16">
        <v>9</v>
      </c>
      <c r="AX16">
        <v>9</v>
      </c>
      <c r="AY16">
        <v>9</v>
      </c>
      <c r="AZ16">
        <v>9</v>
      </c>
      <c r="BA16">
        <v>9</v>
      </c>
      <c r="BB16">
        <v>9</v>
      </c>
      <c r="BC16">
        <v>9</v>
      </c>
      <c r="BE16" t="s">
        <v>166</v>
      </c>
      <c r="BF16">
        <v>8.0500000000000007</v>
      </c>
      <c r="BG16">
        <v>8.0500000000000007</v>
      </c>
      <c r="BH16">
        <v>7.75</v>
      </c>
      <c r="BI16">
        <v>7.75</v>
      </c>
      <c r="BJ16">
        <v>7.5</v>
      </c>
      <c r="BK16">
        <v>7.5</v>
      </c>
      <c r="BL16">
        <v>7.3</v>
      </c>
      <c r="BM16">
        <v>7.3</v>
      </c>
    </row>
    <row r="17" spans="7:65" hidden="1" x14ac:dyDescent="0.2">
      <c r="G17" t="s">
        <v>34</v>
      </c>
      <c r="H17">
        <v>6.2</v>
      </c>
      <c r="I17">
        <v>6.6</v>
      </c>
      <c r="J17">
        <v>6.35</v>
      </c>
      <c r="K17">
        <f>0.2+I17</f>
        <v>6.8</v>
      </c>
      <c r="L17">
        <f>0.2+J17</f>
        <v>6.55</v>
      </c>
      <c r="M17">
        <f>0.15+K17</f>
        <v>6.95</v>
      </c>
      <c r="N17">
        <v>6.65</v>
      </c>
      <c r="O17">
        <v>7</v>
      </c>
      <c r="Q17" t="s">
        <v>34</v>
      </c>
      <c r="R17">
        <v>5.2</v>
      </c>
      <c r="S17">
        <v>5.2</v>
      </c>
      <c r="T17">
        <v>5</v>
      </c>
      <c r="U17">
        <v>5</v>
      </c>
      <c r="V17">
        <v>5</v>
      </c>
      <c r="W17">
        <v>4.9000000000000004</v>
      </c>
      <c r="X17">
        <v>4.7</v>
      </c>
      <c r="Y17">
        <v>4.7</v>
      </c>
      <c r="AA17" t="s">
        <v>34</v>
      </c>
      <c r="AB17">
        <v>7.67</v>
      </c>
      <c r="AC17">
        <v>8.25</v>
      </c>
      <c r="AD17">
        <v>7.8</v>
      </c>
      <c r="AE17">
        <v>8.4</v>
      </c>
      <c r="AF17">
        <f t="shared" ref="AF17" si="0">0.2+AD17</f>
        <v>8</v>
      </c>
      <c r="AG17">
        <v>8.6</v>
      </c>
      <c r="AH17">
        <v>8.1</v>
      </c>
      <c r="AI17">
        <v>8.75</v>
      </c>
      <c r="AK17" t="s">
        <v>34</v>
      </c>
      <c r="AL17">
        <v>6.95</v>
      </c>
      <c r="AM17">
        <v>6.95</v>
      </c>
      <c r="AN17">
        <f>+AL17-0.1</f>
        <v>6.8500000000000005</v>
      </c>
      <c r="AO17">
        <v>6.7</v>
      </c>
      <c r="AP17">
        <v>6.5</v>
      </c>
      <c r="AQ17">
        <v>6.5</v>
      </c>
      <c r="AR17">
        <v>6.3</v>
      </c>
      <c r="AS17">
        <v>6.3</v>
      </c>
      <c r="AU17" t="s">
        <v>34</v>
      </c>
      <c r="AV17">
        <v>9</v>
      </c>
      <c r="AW17">
        <v>9</v>
      </c>
      <c r="AX17">
        <v>9</v>
      </c>
      <c r="AY17">
        <v>9</v>
      </c>
      <c r="AZ17">
        <v>9</v>
      </c>
      <c r="BA17">
        <v>9</v>
      </c>
      <c r="BB17">
        <v>9</v>
      </c>
      <c r="BC17">
        <v>9</v>
      </c>
      <c r="BE17" t="s">
        <v>34</v>
      </c>
      <c r="BF17">
        <v>8.0500000000000007</v>
      </c>
      <c r="BG17">
        <v>8.0500000000000007</v>
      </c>
      <c r="BH17">
        <v>7.75</v>
      </c>
      <c r="BI17">
        <v>7.75</v>
      </c>
      <c r="BJ17">
        <v>7.5</v>
      </c>
      <c r="BK17">
        <v>7.5</v>
      </c>
      <c r="BL17">
        <v>7.3</v>
      </c>
      <c r="BM17">
        <v>7.3</v>
      </c>
    </row>
    <row r="18" spans="7:65" hidden="1" x14ac:dyDescent="0.2">
      <c r="G18" t="s">
        <v>35</v>
      </c>
      <c r="H18">
        <v>5.85</v>
      </c>
      <c r="I18">
        <v>6.3</v>
      </c>
      <c r="J18">
        <v>6.05</v>
      </c>
      <c r="K18">
        <f t="shared" ref="K18:K39" si="1">0.2+I18</f>
        <v>6.5</v>
      </c>
      <c r="L18">
        <f t="shared" ref="L18:L39" si="2">0.2+J18</f>
        <v>6.25</v>
      </c>
      <c r="M18">
        <f t="shared" ref="M18:N39" si="3">0.15+K18</f>
        <v>6.65</v>
      </c>
      <c r="N18">
        <v>6.5</v>
      </c>
      <c r="O18">
        <f>0.1+M18</f>
        <v>6.75</v>
      </c>
      <c r="Q18" t="s">
        <v>35</v>
      </c>
      <c r="R18">
        <v>5.05</v>
      </c>
      <c r="S18">
        <v>5.2</v>
      </c>
      <c r="T18">
        <v>4.95</v>
      </c>
      <c r="U18">
        <v>5</v>
      </c>
      <c r="V18">
        <v>4.9000000000000004</v>
      </c>
      <c r="W18">
        <v>4.9000000000000004</v>
      </c>
      <c r="X18">
        <v>4.5999999999999996</v>
      </c>
      <c r="Y18">
        <v>4.7</v>
      </c>
      <c r="AA18" t="s">
        <v>35</v>
      </c>
      <c r="AB18">
        <v>7.25</v>
      </c>
      <c r="AC18">
        <v>7.85</v>
      </c>
      <c r="AD18">
        <v>7.4</v>
      </c>
      <c r="AE18">
        <v>8.0500000000000007</v>
      </c>
      <c r="AF18">
        <f t="shared" ref="AE18:AG37" si="4">0.2+AD18</f>
        <v>7.6000000000000005</v>
      </c>
      <c r="AG18">
        <f t="shared" si="4"/>
        <v>8.25</v>
      </c>
      <c r="AH18">
        <v>7.7</v>
      </c>
      <c r="AI18">
        <v>8.4</v>
      </c>
      <c r="AK18" t="s">
        <v>35</v>
      </c>
      <c r="AL18">
        <v>6.8</v>
      </c>
      <c r="AM18">
        <v>6.95</v>
      </c>
      <c r="AN18">
        <f t="shared" ref="AN18:AN31" si="5">+AL18-0.1</f>
        <v>6.7</v>
      </c>
      <c r="AO18">
        <v>6.7</v>
      </c>
      <c r="AP18">
        <v>6.5</v>
      </c>
      <c r="AQ18">
        <v>6.5</v>
      </c>
      <c r="AR18">
        <v>6.3</v>
      </c>
      <c r="AS18">
        <v>6.3</v>
      </c>
      <c r="AU18" t="s">
        <v>35</v>
      </c>
      <c r="AV18">
        <v>8.8000000000000007</v>
      </c>
      <c r="AW18">
        <v>9</v>
      </c>
      <c r="AX18">
        <v>9</v>
      </c>
      <c r="AY18">
        <v>9</v>
      </c>
      <c r="AZ18">
        <v>9</v>
      </c>
      <c r="BA18">
        <v>9</v>
      </c>
      <c r="BB18">
        <v>9</v>
      </c>
      <c r="BC18">
        <v>9</v>
      </c>
      <c r="BE18" t="s">
        <v>35</v>
      </c>
      <c r="BF18">
        <v>8.0500000000000007</v>
      </c>
      <c r="BG18">
        <v>8.0500000000000007</v>
      </c>
      <c r="BH18">
        <v>7.75</v>
      </c>
      <c r="BI18">
        <v>7.75</v>
      </c>
      <c r="BJ18">
        <v>7.5</v>
      </c>
      <c r="BK18">
        <v>7.5</v>
      </c>
      <c r="BL18">
        <v>7.3</v>
      </c>
      <c r="BM18">
        <v>7.3</v>
      </c>
    </row>
    <row r="19" spans="7:65" hidden="1" x14ac:dyDescent="0.2">
      <c r="G19" t="s">
        <v>36</v>
      </c>
      <c r="H19">
        <v>5.55</v>
      </c>
      <c r="I19">
        <v>6.05</v>
      </c>
      <c r="J19">
        <v>5.75</v>
      </c>
      <c r="K19">
        <f t="shared" si="1"/>
        <v>6.25</v>
      </c>
      <c r="L19">
        <f t="shared" si="2"/>
        <v>5.95</v>
      </c>
      <c r="M19">
        <f t="shared" si="3"/>
        <v>6.4</v>
      </c>
      <c r="N19">
        <v>6.15</v>
      </c>
      <c r="O19">
        <f t="shared" ref="O19:O39" si="6">0.1+M19</f>
        <v>6.5</v>
      </c>
      <c r="Q19" t="s">
        <v>36</v>
      </c>
      <c r="R19">
        <v>4.9000000000000004</v>
      </c>
      <c r="S19">
        <v>5.15</v>
      </c>
      <c r="T19">
        <v>4.8</v>
      </c>
      <c r="U19">
        <v>5</v>
      </c>
      <c r="V19">
        <v>4.6500000000000004</v>
      </c>
      <c r="W19">
        <v>4.9000000000000004</v>
      </c>
      <c r="X19">
        <v>4.55</v>
      </c>
      <c r="Y19">
        <v>4.7</v>
      </c>
      <c r="AA19" t="s">
        <v>36</v>
      </c>
      <c r="AB19">
        <v>6.9</v>
      </c>
      <c r="AC19">
        <v>7.5</v>
      </c>
      <c r="AD19">
        <v>7.1</v>
      </c>
      <c r="AE19">
        <f t="shared" si="4"/>
        <v>7.7</v>
      </c>
      <c r="AF19">
        <f t="shared" ref="AF19" si="7">0.2+AD19</f>
        <v>7.3</v>
      </c>
      <c r="AG19">
        <f t="shared" si="4"/>
        <v>7.9</v>
      </c>
      <c r="AH19">
        <f>0.1+AF19</f>
        <v>7.3999999999999995</v>
      </c>
      <c r="AI19">
        <v>8.1</v>
      </c>
      <c r="AK19" t="s">
        <v>36</v>
      </c>
      <c r="AL19">
        <v>6.6</v>
      </c>
      <c r="AM19">
        <v>6.95</v>
      </c>
      <c r="AN19">
        <f t="shared" si="5"/>
        <v>6.5</v>
      </c>
      <c r="AO19">
        <v>6.7</v>
      </c>
      <c r="AP19">
        <v>6.35</v>
      </c>
      <c r="AQ19">
        <v>6.5</v>
      </c>
      <c r="AR19">
        <v>6.2</v>
      </c>
      <c r="AS19">
        <v>6.3</v>
      </c>
      <c r="AU19" t="s">
        <v>36</v>
      </c>
      <c r="AV19">
        <v>8.4</v>
      </c>
      <c r="AW19">
        <v>9</v>
      </c>
      <c r="AX19">
        <v>8.5500000000000007</v>
      </c>
      <c r="AY19">
        <v>9</v>
      </c>
      <c r="AZ19">
        <v>8.6999999999999993</v>
      </c>
      <c r="BA19">
        <v>9</v>
      </c>
      <c r="BB19">
        <v>8.85</v>
      </c>
      <c r="BC19">
        <v>9</v>
      </c>
      <c r="BE19" t="s">
        <v>36</v>
      </c>
      <c r="BF19">
        <v>8.0500000000000007</v>
      </c>
      <c r="BG19">
        <v>8.0500000000000007</v>
      </c>
      <c r="BH19">
        <v>7.75</v>
      </c>
      <c r="BI19">
        <v>7.75</v>
      </c>
      <c r="BJ19">
        <v>7.5</v>
      </c>
      <c r="BK19">
        <v>7.5</v>
      </c>
      <c r="BL19">
        <v>7.3</v>
      </c>
      <c r="BM19">
        <v>7.3</v>
      </c>
    </row>
    <row r="20" spans="7:65" hidden="1" x14ac:dyDescent="0.2">
      <c r="G20" t="s">
        <v>37</v>
      </c>
      <c r="H20">
        <v>5.35</v>
      </c>
      <c r="I20">
        <v>5.8</v>
      </c>
      <c r="J20">
        <v>5.55</v>
      </c>
      <c r="K20">
        <f t="shared" si="1"/>
        <v>6</v>
      </c>
      <c r="L20">
        <f t="shared" si="2"/>
        <v>5.75</v>
      </c>
      <c r="M20">
        <f t="shared" si="3"/>
        <v>6.15</v>
      </c>
      <c r="N20">
        <v>5.9</v>
      </c>
      <c r="O20">
        <f t="shared" si="6"/>
        <v>6.25</v>
      </c>
      <c r="Q20" t="s">
        <v>37</v>
      </c>
      <c r="R20">
        <v>4.75</v>
      </c>
      <c r="S20">
        <v>5</v>
      </c>
      <c r="T20">
        <v>4.6500000000000004</v>
      </c>
      <c r="U20">
        <v>4.9000000000000004</v>
      </c>
      <c r="V20">
        <v>4.55</v>
      </c>
      <c r="W20">
        <v>4.9000000000000004</v>
      </c>
      <c r="X20">
        <v>4.45</v>
      </c>
      <c r="Y20">
        <v>4.6500000000000004</v>
      </c>
      <c r="AA20" t="s">
        <v>37</v>
      </c>
      <c r="AB20">
        <v>6.6</v>
      </c>
      <c r="AC20">
        <v>7.2</v>
      </c>
      <c r="AD20">
        <v>6.8</v>
      </c>
      <c r="AE20">
        <f t="shared" si="4"/>
        <v>7.4</v>
      </c>
      <c r="AF20">
        <f t="shared" si="4"/>
        <v>7</v>
      </c>
      <c r="AG20">
        <f t="shared" si="4"/>
        <v>7.6000000000000005</v>
      </c>
      <c r="AH20">
        <f t="shared" ref="AH20:AH39" si="8">0.1+AF20</f>
        <v>7.1</v>
      </c>
      <c r="AI20">
        <v>7.8</v>
      </c>
      <c r="AK20" t="s">
        <v>37</v>
      </c>
      <c r="AL20">
        <v>6.4</v>
      </c>
      <c r="AM20">
        <v>6.76</v>
      </c>
      <c r="AN20">
        <f t="shared" si="5"/>
        <v>6.3000000000000007</v>
      </c>
      <c r="AO20">
        <v>6.65</v>
      </c>
      <c r="AP20">
        <v>6.2</v>
      </c>
      <c r="AQ20">
        <v>6.5</v>
      </c>
      <c r="AR20">
        <v>6.05</v>
      </c>
      <c r="AS20">
        <v>6.3</v>
      </c>
      <c r="AU20" t="s">
        <v>37</v>
      </c>
      <c r="AV20">
        <v>8.0500000000000007</v>
      </c>
      <c r="AW20">
        <v>8.8000000000000007</v>
      </c>
      <c r="AX20">
        <v>8.25</v>
      </c>
      <c r="AY20">
        <v>9</v>
      </c>
      <c r="AZ20">
        <v>8.4</v>
      </c>
      <c r="BA20">
        <v>9</v>
      </c>
      <c r="BB20">
        <v>8.5</v>
      </c>
      <c r="BC20">
        <v>9</v>
      </c>
      <c r="BE20" t="s">
        <v>37</v>
      </c>
      <c r="BF20">
        <v>7.9</v>
      </c>
      <c r="BG20">
        <v>8.0500000000000007</v>
      </c>
      <c r="BH20">
        <v>7.75</v>
      </c>
      <c r="BI20">
        <v>7.75</v>
      </c>
      <c r="BJ20">
        <v>7.5</v>
      </c>
      <c r="BK20">
        <v>7.5</v>
      </c>
      <c r="BL20">
        <v>7.3</v>
      </c>
      <c r="BM20">
        <v>7.3</v>
      </c>
    </row>
    <row r="21" spans="7:65" hidden="1" x14ac:dyDescent="0.2">
      <c r="G21" t="s">
        <v>80</v>
      </c>
      <c r="H21">
        <v>5.15</v>
      </c>
      <c r="I21">
        <v>5.6</v>
      </c>
      <c r="J21">
        <v>5.35</v>
      </c>
      <c r="K21">
        <f t="shared" si="1"/>
        <v>5.8</v>
      </c>
      <c r="L21">
        <f t="shared" si="2"/>
        <v>5.55</v>
      </c>
      <c r="M21">
        <f t="shared" si="3"/>
        <v>5.95</v>
      </c>
      <c r="N21">
        <f t="shared" si="3"/>
        <v>5.7</v>
      </c>
      <c r="O21">
        <f t="shared" si="6"/>
        <v>6.05</v>
      </c>
      <c r="Q21" t="s">
        <v>80</v>
      </c>
      <c r="R21">
        <v>4.5999999999999996</v>
      </c>
      <c r="S21">
        <v>4.8499999999999996</v>
      </c>
      <c r="T21">
        <v>4.5</v>
      </c>
      <c r="U21">
        <v>4.75</v>
      </c>
      <c r="V21">
        <v>4.45</v>
      </c>
      <c r="W21">
        <v>4.7</v>
      </c>
      <c r="X21">
        <v>4.3499999999999996</v>
      </c>
      <c r="Y21">
        <v>4.5999999999999996</v>
      </c>
      <c r="AA21" t="s">
        <v>80</v>
      </c>
      <c r="AB21">
        <v>6.35</v>
      </c>
      <c r="AC21">
        <v>7</v>
      </c>
      <c r="AD21">
        <v>6.55</v>
      </c>
      <c r="AE21">
        <f t="shared" si="4"/>
        <v>7.2</v>
      </c>
      <c r="AF21">
        <f>0.15+AD21</f>
        <v>6.7</v>
      </c>
      <c r="AG21">
        <f t="shared" si="4"/>
        <v>7.4</v>
      </c>
      <c r="AH21">
        <f t="shared" si="8"/>
        <v>6.8</v>
      </c>
      <c r="AI21">
        <f>0.2+AG21</f>
        <v>7.6000000000000005</v>
      </c>
      <c r="AK21" t="s">
        <v>80</v>
      </c>
      <c r="AL21">
        <v>6.2</v>
      </c>
      <c r="AM21">
        <v>6.55</v>
      </c>
      <c r="AN21">
        <f t="shared" si="5"/>
        <v>6.1000000000000005</v>
      </c>
      <c r="AO21">
        <v>6.5</v>
      </c>
      <c r="AP21">
        <v>6.05</v>
      </c>
      <c r="AQ21">
        <v>6.35</v>
      </c>
      <c r="AR21">
        <v>5.9</v>
      </c>
      <c r="AS21">
        <v>6.25</v>
      </c>
      <c r="AU21" t="s">
        <v>80</v>
      </c>
      <c r="AV21">
        <v>7.75</v>
      </c>
      <c r="AW21">
        <v>8.5</v>
      </c>
      <c r="AX21">
        <v>7.95</v>
      </c>
      <c r="AY21">
        <v>8.6999999999999993</v>
      </c>
      <c r="AZ21">
        <v>8.1</v>
      </c>
      <c r="BA21">
        <v>8.9</v>
      </c>
      <c r="BB21">
        <f>0.15+AZ21</f>
        <v>8.25</v>
      </c>
      <c r="BC21">
        <v>9</v>
      </c>
      <c r="BE21" t="s">
        <v>80</v>
      </c>
      <c r="BF21">
        <v>7.7</v>
      </c>
      <c r="BG21">
        <v>8.0500000000000007</v>
      </c>
      <c r="BH21">
        <v>7.6</v>
      </c>
      <c r="BI21">
        <v>7.75</v>
      </c>
      <c r="BJ21">
        <v>7.5</v>
      </c>
      <c r="BK21">
        <v>7.5</v>
      </c>
      <c r="BL21">
        <v>7.3</v>
      </c>
      <c r="BM21">
        <v>7.3</v>
      </c>
    </row>
    <row r="22" spans="7:65" hidden="1" x14ac:dyDescent="0.2">
      <c r="G22" t="s">
        <v>38</v>
      </c>
      <c r="H22">
        <v>4.8</v>
      </c>
      <c r="I22">
        <v>5.25</v>
      </c>
      <c r="J22">
        <v>5</v>
      </c>
      <c r="K22">
        <f t="shared" si="1"/>
        <v>5.45</v>
      </c>
      <c r="L22">
        <f t="shared" si="2"/>
        <v>5.2</v>
      </c>
      <c r="M22">
        <f t="shared" si="3"/>
        <v>5.6000000000000005</v>
      </c>
      <c r="N22">
        <f t="shared" si="3"/>
        <v>5.3500000000000005</v>
      </c>
      <c r="O22">
        <f t="shared" si="6"/>
        <v>5.7</v>
      </c>
      <c r="Q22" t="s">
        <v>38</v>
      </c>
      <c r="R22">
        <v>4.3499999999999996</v>
      </c>
      <c r="S22">
        <v>4.55</v>
      </c>
      <c r="T22">
        <v>4.25</v>
      </c>
      <c r="U22">
        <v>4.55</v>
      </c>
      <c r="V22">
        <v>4.25</v>
      </c>
      <c r="W22">
        <v>4.5</v>
      </c>
      <c r="X22">
        <v>4.1500000000000004</v>
      </c>
      <c r="Y22">
        <v>4.4000000000000004</v>
      </c>
      <c r="AA22" t="s">
        <v>38</v>
      </c>
      <c r="AB22">
        <v>6</v>
      </c>
      <c r="AC22">
        <v>6.55</v>
      </c>
      <c r="AD22">
        <f>0.2+AB22</f>
        <v>6.2</v>
      </c>
      <c r="AE22">
        <f t="shared" si="4"/>
        <v>6.75</v>
      </c>
      <c r="AF22">
        <f t="shared" ref="AF22:AF37" si="9">0.15+AD22</f>
        <v>6.3500000000000005</v>
      </c>
      <c r="AG22">
        <f t="shared" si="4"/>
        <v>6.95</v>
      </c>
      <c r="AH22">
        <f t="shared" si="8"/>
        <v>6.45</v>
      </c>
      <c r="AI22">
        <f t="shared" ref="AI22:AI37" si="10">0.2+AG22</f>
        <v>7.15</v>
      </c>
      <c r="AK22" t="s">
        <v>38</v>
      </c>
      <c r="AL22">
        <v>5.9</v>
      </c>
      <c r="AM22">
        <v>6.2</v>
      </c>
      <c r="AN22">
        <f t="shared" si="5"/>
        <v>5.8000000000000007</v>
      </c>
      <c r="AO22">
        <v>6.15</v>
      </c>
      <c r="AP22">
        <v>5.75</v>
      </c>
      <c r="AQ22">
        <v>6.1</v>
      </c>
      <c r="AR22">
        <v>5.7</v>
      </c>
      <c r="AS22">
        <v>6</v>
      </c>
      <c r="AU22" t="s">
        <v>38</v>
      </c>
      <c r="AV22">
        <v>7.25</v>
      </c>
      <c r="AW22">
        <v>8</v>
      </c>
      <c r="AX22">
        <f>0.2+AV22</f>
        <v>7.45</v>
      </c>
      <c r="AY22">
        <f>0.2+AW22</f>
        <v>8.1999999999999993</v>
      </c>
      <c r="AZ22">
        <v>7.6</v>
      </c>
      <c r="BA22">
        <v>8.4</v>
      </c>
      <c r="BB22">
        <f t="shared" ref="BB22:BC37" si="11">0.15+AZ22</f>
        <v>7.75</v>
      </c>
      <c r="BC22">
        <v>8.5500000000000007</v>
      </c>
      <c r="BE22" t="s">
        <v>38</v>
      </c>
      <c r="BF22">
        <v>7.25</v>
      </c>
      <c r="BG22">
        <v>7.7</v>
      </c>
      <c r="BH22">
        <v>7.2</v>
      </c>
      <c r="BI22">
        <v>7.6</v>
      </c>
      <c r="BJ22">
        <v>7.15</v>
      </c>
      <c r="BK22">
        <v>7.5</v>
      </c>
      <c r="BL22">
        <v>7.3</v>
      </c>
      <c r="BM22">
        <v>7.3</v>
      </c>
    </row>
    <row r="23" spans="7:65" hidden="1" x14ac:dyDescent="0.2">
      <c r="G23" t="s">
        <v>39</v>
      </c>
      <c r="H23">
        <v>4.55</v>
      </c>
      <c r="I23">
        <v>4.9000000000000004</v>
      </c>
      <c r="J23">
        <v>4.75</v>
      </c>
      <c r="K23">
        <f t="shared" si="1"/>
        <v>5.1000000000000005</v>
      </c>
      <c r="L23">
        <f t="shared" si="2"/>
        <v>4.95</v>
      </c>
      <c r="M23">
        <f t="shared" si="3"/>
        <v>5.2500000000000009</v>
      </c>
      <c r="N23">
        <f t="shared" si="3"/>
        <v>5.1000000000000005</v>
      </c>
      <c r="O23">
        <f t="shared" si="6"/>
        <v>5.3500000000000005</v>
      </c>
      <c r="Q23" t="s">
        <v>39</v>
      </c>
      <c r="R23">
        <v>4.0999999999999996</v>
      </c>
      <c r="S23">
        <v>4.3499999999999996</v>
      </c>
      <c r="T23">
        <v>4</v>
      </c>
      <c r="U23">
        <v>4.3499999999999996</v>
      </c>
      <c r="V23">
        <v>4.0999999999999996</v>
      </c>
      <c r="W23">
        <v>4.3</v>
      </c>
      <c r="X23">
        <v>4.05</v>
      </c>
      <c r="Y23">
        <v>4.25</v>
      </c>
      <c r="AA23" t="s">
        <v>39</v>
      </c>
      <c r="AB23">
        <v>5.6</v>
      </c>
      <c r="AC23">
        <v>6.2</v>
      </c>
      <c r="AD23">
        <f t="shared" ref="AD23:AE39" si="12">0.2+AB23</f>
        <v>5.8</v>
      </c>
      <c r="AE23">
        <f t="shared" si="12"/>
        <v>6.4</v>
      </c>
      <c r="AF23">
        <f t="shared" si="9"/>
        <v>5.95</v>
      </c>
      <c r="AG23">
        <f t="shared" si="4"/>
        <v>6.6000000000000005</v>
      </c>
      <c r="AH23">
        <f t="shared" si="8"/>
        <v>6.05</v>
      </c>
      <c r="AI23">
        <f t="shared" si="10"/>
        <v>6.8000000000000007</v>
      </c>
      <c r="AK23" t="s">
        <v>39</v>
      </c>
      <c r="AL23">
        <v>5.6</v>
      </c>
      <c r="AM23">
        <v>5.85</v>
      </c>
      <c r="AN23">
        <f t="shared" si="5"/>
        <v>5.5</v>
      </c>
      <c r="AO23">
        <v>5.85</v>
      </c>
      <c r="AP23">
        <v>5.5</v>
      </c>
      <c r="AQ23">
        <v>5.8</v>
      </c>
      <c r="AR23">
        <v>5.45</v>
      </c>
      <c r="AS23">
        <v>5.75</v>
      </c>
      <c r="AU23" t="s">
        <v>39</v>
      </c>
      <c r="AV23">
        <v>6.85</v>
      </c>
      <c r="AW23">
        <v>7.55</v>
      </c>
      <c r="AX23">
        <f t="shared" ref="AX23:AX38" si="13">0.2+AV23</f>
        <v>7.05</v>
      </c>
      <c r="AY23">
        <f t="shared" ref="AY23:BA37" si="14">0.2+AW23</f>
        <v>7.75</v>
      </c>
      <c r="AZ23">
        <v>7.2</v>
      </c>
      <c r="BA23">
        <v>7.95</v>
      </c>
      <c r="BB23">
        <f t="shared" si="11"/>
        <v>7.3500000000000005</v>
      </c>
      <c r="BC23">
        <f t="shared" si="11"/>
        <v>8.1</v>
      </c>
      <c r="BE23" t="s">
        <v>39</v>
      </c>
      <c r="BF23">
        <v>6.85</v>
      </c>
      <c r="BG23">
        <v>7.3</v>
      </c>
      <c r="BH23">
        <v>6.9</v>
      </c>
      <c r="BI23">
        <v>7.25</v>
      </c>
      <c r="BJ23">
        <v>6.85</v>
      </c>
      <c r="BK23">
        <v>7.2</v>
      </c>
      <c r="BL23">
        <v>6.75</v>
      </c>
      <c r="BM23">
        <v>7.15</v>
      </c>
    </row>
    <row r="24" spans="7:65" hidden="1" x14ac:dyDescent="0.2">
      <c r="G24" t="s">
        <v>167</v>
      </c>
      <c r="H24">
        <v>6.05</v>
      </c>
      <c r="I24">
        <v>6.35</v>
      </c>
      <c r="J24">
        <v>6.15</v>
      </c>
      <c r="K24">
        <v>6.5</v>
      </c>
      <c r="L24">
        <v>6.3</v>
      </c>
      <c r="M24">
        <v>6.65</v>
      </c>
      <c r="N24">
        <v>6.4</v>
      </c>
      <c r="O24">
        <v>6.75</v>
      </c>
      <c r="Q24" t="s">
        <v>167</v>
      </c>
      <c r="R24">
        <v>5.2</v>
      </c>
      <c r="S24">
        <v>5.2</v>
      </c>
      <c r="T24">
        <v>5</v>
      </c>
      <c r="U24">
        <v>5</v>
      </c>
      <c r="V24">
        <v>5</v>
      </c>
      <c r="W24">
        <v>4.9000000000000004</v>
      </c>
      <c r="X24">
        <v>4.7</v>
      </c>
      <c r="Y24">
        <v>4.7</v>
      </c>
      <c r="AA24" t="s">
        <v>167</v>
      </c>
      <c r="AB24">
        <v>7.5</v>
      </c>
      <c r="AC24">
        <v>7.9</v>
      </c>
      <c r="AD24">
        <v>7.7</v>
      </c>
      <c r="AE24">
        <v>8.0500000000000007</v>
      </c>
      <c r="AF24">
        <v>7.8</v>
      </c>
      <c r="AG24">
        <v>8.25</v>
      </c>
      <c r="AH24">
        <v>7.95</v>
      </c>
      <c r="AI24">
        <v>8.4</v>
      </c>
      <c r="AK24" t="s">
        <v>167</v>
      </c>
      <c r="AL24">
        <v>6.8</v>
      </c>
      <c r="AM24">
        <v>6.95</v>
      </c>
      <c r="AN24">
        <f t="shared" si="5"/>
        <v>6.7</v>
      </c>
      <c r="AO24">
        <v>6.7</v>
      </c>
      <c r="AP24">
        <v>6.4</v>
      </c>
      <c r="AQ24">
        <v>6.5</v>
      </c>
      <c r="AR24">
        <v>6.3</v>
      </c>
      <c r="AS24">
        <v>6.3</v>
      </c>
      <c r="AU24" t="s">
        <v>167</v>
      </c>
      <c r="AV24">
        <v>9</v>
      </c>
      <c r="AW24">
        <v>9</v>
      </c>
      <c r="AX24">
        <v>9</v>
      </c>
      <c r="AY24">
        <v>9</v>
      </c>
      <c r="AZ24">
        <v>9</v>
      </c>
      <c r="BA24">
        <v>9</v>
      </c>
      <c r="BB24">
        <v>9</v>
      </c>
      <c r="BC24">
        <v>9</v>
      </c>
      <c r="BE24" t="s">
        <v>167</v>
      </c>
      <c r="BF24">
        <v>8.0500000000000007</v>
      </c>
      <c r="BG24">
        <v>8.0500000000000007</v>
      </c>
      <c r="BH24">
        <v>7.75</v>
      </c>
      <c r="BI24">
        <v>7.75</v>
      </c>
      <c r="BJ24">
        <v>7.5</v>
      </c>
      <c r="BK24">
        <v>7.5</v>
      </c>
      <c r="BL24">
        <v>7.3</v>
      </c>
      <c r="BM24">
        <v>7.3</v>
      </c>
    </row>
    <row r="25" spans="7:65" hidden="1" x14ac:dyDescent="0.2">
      <c r="G25" t="s">
        <v>40</v>
      </c>
      <c r="H25">
        <v>5.75</v>
      </c>
      <c r="I25">
        <v>6.05</v>
      </c>
      <c r="J25">
        <v>5.9</v>
      </c>
      <c r="K25">
        <f t="shared" si="1"/>
        <v>6.25</v>
      </c>
      <c r="L25">
        <f t="shared" si="2"/>
        <v>6.1000000000000005</v>
      </c>
      <c r="M25">
        <f t="shared" si="3"/>
        <v>6.4</v>
      </c>
      <c r="N25">
        <f t="shared" si="3"/>
        <v>6.2500000000000009</v>
      </c>
      <c r="O25">
        <f t="shared" si="6"/>
        <v>6.5</v>
      </c>
      <c r="Q25" t="s">
        <v>40</v>
      </c>
      <c r="R25">
        <v>4.9000000000000004</v>
      </c>
      <c r="S25">
        <v>5.15</v>
      </c>
      <c r="T25">
        <v>4.8</v>
      </c>
      <c r="U25">
        <v>5</v>
      </c>
      <c r="V25">
        <v>4.75</v>
      </c>
      <c r="W25">
        <v>4.8499999999999996</v>
      </c>
      <c r="X25">
        <v>4.6500000000000004</v>
      </c>
      <c r="Y25">
        <v>4.7</v>
      </c>
      <c r="AA25" t="s">
        <v>40</v>
      </c>
      <c r="AB25">
        <v>7.15</v>
      </c>
      <c r="AC25">
        <v>7.5</v>
      </c>
      <c r="AD25">
        <f t="shared" si="12"/>
        <v>7.3500000000000005</v>
      </c>
      <c r="AE25">
        <f t="shared" si="4"/>
        <v>7.7</v>
      </c>
      <c r="AF25">
        <f t="shared" si="9"/>
        <v>7.5000000000000009</v>
      </c>
      <c r="AG25">
        <f t="shared" si="4"/>
        <v>7.9</v>
      </c>
      <c r="AH25">
        <f t="shared" si="8"/>
        <v>7.6000000000000005</v>
      </c>
      <c r="AI25">
        <f t="shared" si="10"/>
        <v>8.1</v>
      </c>
      <c r="AK25" t="s">
        <v>40</v>
      </c>
      <c r="AL25">
        <v>6.6</v>
      </c>
      <c r="AM25">
        <v>6.95</v>
      </c>
      <c r="AN25">
        <f t="shared" si="5"/>
        <v>6.5</v>
      </c>
      <c r="AO25">
        <v>6.7</v>
      </c>
      <c r="AP25">
        <v>6.4</v>
      </c>
      <c r="AQ25">
        <v>6.5</v>
      </c>
      <c r="AR25">
        <v>6.3</v>
      </c>
      <c r="AS25">
        <v>6.3</v>
      </c>
      <c r="AU25" t="s">
        <v>40</v>
      </c>
      <c r="AV25">
        <v>8.65</v>
      </c>
      <c r="AW25">
        <v>9</v>
      </c>
      <c r="AX25">
        <f t="shared" si="13"/>
        <v>8.85</v>
      </c>
      <c r="AY25">
        <f t="shared" si="14"/>
        <v>9.1999999999999993</v>
      </c>
      <c r="AZ25">
        <v>9</v>
      </c>
      <c r="BA25">
        <v>9</v>
      </c>
      <c r="BB25">
        <f t="shared" si="11"/>
        <v>9.15</v>
      </c>
      <c r="BC25">
        <v>9</v>
      </c>
      <c r="BE25" t="s">
        <v>40</v>
      </c>
      <c r="BF25">
        <v>8.0500000000000007</v>
      </c>
      <c r="BG25">
        <v>8.0500000000000007</v>
      </c>
      <c r="BH25">
        <v>7.75</v>
      </c>
      <c r="BI25">
        <v>7.75</v>
      </c>
      <c r="BJ25">
        <v>7.5</v>
      </c>
      <c r="BK25">
        <v>7.5</v>
      </c>
      <c r="BL25">
        <v>7.3</v>
      </c>
      <c r="BM25">
        <v>7.3</v>
      </c>
    </row>
    <row r="26" spans="7:65" hidden="1" x14ac:dyDescent="0.2">
      <c r="G26" t="s">
        <v>41</v>
      </c>
      <c r="H26">
        <v>5.5</v>
      </c>
      <c r="I26">
        <v>5.8</v>
      </c>
      <c r="J26">
        <v>5.7</v>
      </c>
      <c r="K26">
        <f t="shared" si="1"/>
        <v>6</v>
      </c>
      <c r="L26">
        <f t="shared" si="2"/>
        <v>5.9</v>
      </c>
      <c r="M26">
        <f t="shared" si="3"/>
        <v>6.15</v>
      </c>
      <c r="N26">
        <f t="shared" si="3"/>
        <v>6.0500000000000007</v>
      </c>
      <c r="O26">
        <f t="shared" si="6"/>
        <v>6.25</v>
      </c>
      <c r="Q26" t="s">
        <v>41</v>
      </c>
      <c r="R26">
        <v>4.75</v>
      </c>
      <c r="S26">
        <v>5</v>
      </c>
      <c r="T26">
        <v>4.7</v>
      </c>
      <c r="U26">
        <v>4.95</v>
      </c>
      <c r="V26">
        <v>4.6500000000000004</v>
      </c>
      <c r="W26">
        <v>4.8499999999999996</v>
      </c>
      <c r="X26">
        <v>4.55</v>
      </c>
      <c r="Y26">
        <v>4.7</v>
      </c>
      <c r="AA26" t="s">
        <v>41</v>
      </c>
      <c r="AB26">
        <v>6.8</v>
      </c>
      <c r="AC26">
        <v>7.2</v>
      </c>
      <c r="AD26">
        <f t="shared" si="12"/>
        <v>7</v>
      </c>
      <c r="AE26">
        <f t="shared" si="4"/>
        <v>7.4</v>
      </c>
      <c r="AF26">
        <f t="shared" si="9"/>
        <v>7.15</v>
      </c>
      <c r="AG26">
        <f t="shared" si="4"/>
        <v>7.6000000000000005</v>
      </c>
      <c r="AH26">
        <f t="shared" si="8"/>
        <v>7.25</v>
      </c>
      <c r="AI26">
        <f t="shared" si="10"/>
        <v>7.8000000000000007</v>
      </c>
      <c r="AK26" t="s">
        <v>41</v>
      </c>
      <c r="AL26">
        <v>6.4</v>
      </c>
      <c r="AM26">
        <v>6.75</v>
      </c>
      <c r="AN26">
        <f t="shared" si="5"/>
        <v>6.3000000000000007</v>
      </c>
      <c r="AO26">
        <v>6.65</v>
      </c>
      <c r="AP26">
        <v>6.25</v>
      </c>
      <c r="AQ26">
        <v>6.5</v>
      </c>
      <c r="AR26">
        <v>6.15</v>
      </c>
      <c r="AS26">
        <v>6.3</v>
      </c>
      <c r="AU26" t="s">
        <v>41</v>
      </c>
      <c r="AV26">
        <v>8.25</v>
      </c>
      <c r="AW26">
        <v>8.8000000000000007</v>
      </c>
      <c r="AX26">
        <f t="shared" si="13"/>
        <v>8.4499999999999993</v>
      </c>
      <c r="AY26">
        <f t="shared" si="14"/>
        <v>9</v>
      </c>
      <c r="AZ26">
        <f>0.15+AX26</f>
        <v>8.6</v>
      </c>
      <c r="BA26">
        <v>9</v>
      </c>
      <c r="BB26">
        <f t="shared" si="11"/>
        <v>8.75</v>
      </c>
      <c r="BC26">
        <v>9</v>
      </c>
      <c r="BE26" t="s">
        <v>41</v>
      </c>
      <c r="BF26">
        <v>7.9</v>
      </c>
      <c r="BG26">
        <v>8.0500000000000007</v>
      </c>
      <c r="BH26">
        <v>7.75</v>
      </c>
      <c r="BI26">
        <v>7.75</v>
      </c>
      <c r="BJ26">
        <v>7.5</v>
      </c>
      <c r="BK26">
        <v>7.5</v>
      </c>
      <c r="BL26">
        <v>7.3</v>
      </c>
      <c r="BM26">
        <v>7.3</v>
      </c>
    </row>
    <row r="27" spans="7:65" hidden="1" x14ac:dyDescent="0.2">
      <c r="G27" t="s">
        <v>42</v>
      </c>
      <c r="H27">
        <v>5.25</v>
      </c>
      <c r="I27">
        <v>5.6</v>
      </c>
      <c r="J27">
        <v>5.45</v>
      </c>
      <c r="K27">
        <f t="shared" si="1"/>
        <v>5.8</v>
      </c>
      <c r="L27">
        <f t="shared" si="2"/>
        <v>5.65</v>
      </c>
      <c r="M27">
        <f t="shared" si="3"/>
        <v>5.95</v>
      </c>
      <c r="N27">
        <f t="shared" si="3"/>
        <v>5.8000000000000007</v>
      </c>
      <c r="O27">
        <f t="shared" si="6"/>
        <v>6.05</v>
      </c>
      <c r="Q27" t="s">
        <v>42</v>
      </c>
      <c r="R27">
        <v>4.5999999999999996</v>
      </c>
      <c r="S27">
        <v>4.8499999999999996</v>
      </c>
      <c r="T27">
        <v>4.5999999999999996</v>
      </c>
      <c r="U27">
        <v>4.8499999999999996</v>
      </c>
      <c r="V27">
        <v>4.55</v>
      </c>
      <c r="W27">
        <v>4.7</v>
      </c>
      <c r="X27">
        <v>4.45</v>
      </c>
      <c r="Y27">
        <v>4.7</v>
      </c>
      <c r="AA27" t="s">
        <v>42</v>
      </c>
      <c r="AB27">
        <v>6.55</v>
      </c>
      <c r="AC27">
        <v>7</v>
      </c>
      <c r="AD27">
        <f t="shared" si="12"/>
        <v>6.75</v>
      </c>
      <c r="AE27">
        <f t="shared" si="4"/>
        <v>7.2</v>
      </c>
      <c r="AF27">
        <f t="shared" si="9"/>
        <v>6.9</v>
      </c>
      <c r="AG27">
        <f t="shared" si="4"/>
        <v>7.4</v>
      </c>
      <c r="AH27">
        <f t="shared" si="8"/>
        <v>7</v>
      </c>
      <c r="AI27">
        <f t="shared" si="10"/>
        <v>7.6000000000000005</v>
      </c>
      <c r="AK27" t="s">
        <v>42</v>
      </c>
      <c r="AL27">
        <v>6.2</v>
      </c>
      <c r="AM27">
        <v>6.55</v>
      </c>
      <c r="AN27">
        <f t="shared" si="5"/>
        <v>6.1000000000000005</v>
      </c>
      <c r="AO27">
        <v>65</v>
      </c>
      <c r="AP27">
        <v>6.1</v>
      </c>
      <c r="AQ27">
        <v>6.4</v>
      </c>
      <c r="AR27">
        <v>6</v>
      </c>
      <c r="AS27">
        <v>6.3</v>
      </c>
      <c r="AU27" t="s">
        <v>42</v>
      </c>
      <c r="AV27">
        <v>7.95</v>
      </c>
      <c r="AW27">
        <v>8.5</v>
      </c>
      <c r="AX27">
        <f t="shared" si="13"/>
        <v>8.15</v>
      </c>
      <c r="AY27">
        <f t="shared" si="14"/>
        <v>8.6999999999999993</v>
      </c>
      <c r="AZ27">
        <f t="shared" ref="AZ27:AZ37" si="15">0.15+AX27</f>
        <v>8.3000000000000007</v>
      </c>
      <c r="BA27">
        <f t="shared" si="14"/>
        <v>8.8999999999999986</v>
      </c>
      <c r="BB27">
        <f t="shared" si="11"/>
        <v>8.4500000000000011</v>
      </c>
      <c r="BC27">
        <v>9</v>
      </c>
      <c r="BE27" t="s">
        <v>42</v>
      </c>
      <c r="BF27">
        <v>7.7</v>
      </c>
      <c r="BG27">
        <v>8.0500000000000007</v>
      </c>
      <c r="BH27">
        <v>7.75</v>
      </c>
      <c r="BI27">
        <v>7.75</v>
      </c>
      <c r="BJ27">
        <v>7.5</v>
      </c>
      <c r="BK27">
        <v>7.5</v>
      </c>
      <c r="BL27">
        <v>7.3</v>
      </c>
      <c r="BM27">
        <v>7.3</v>
      </c>
    </row>
    <row r="28" spans="7:65" hidden="1" x14ac:dyDescent="0.2">
      <c r="G28" t="s">
        <v>43</v>
      </c>
      <c r="H28">
        <v>5.0999999999999996</v>
      </c>
      <c r="I28">
        <v>5.4</v>
      </c>
      <c r="J28">
        <v>5.3</v>
      </c>
      <c r="K28">
        <f t="shared" si="1"/>
        <v>5.6000000000000005</v>
      </c>
      <c r="L28">
        <f t="shared" si="2"/>
        <v>5.5</v>
      </c>
      <c r="M28">
        <f t="shared" si="3"/>
        <v>5.7500000000000009</v>
      </c>
      <c r="N28">
        <f t="shared" si="3"/>
        <v>5.65</v>
      </c>
      <c r="O28">
        <f t="shared" si="6"/>
        <v>5.8500000000000005</v>
      </c>
      <c r="Q28" t="s">
        <v>43</v>
      </c>
      <c r="R28">
        <v>4.5</v>
      </c>
      <c r="S28">
        <v>4.75</v>
      </c>
      <c r="T28">
        <v>4.5</v>
      </c>
      <c r="U28">
        <v>4.75</v>
      </c>
      <c r="V28">
        <v>4.45</v>
      </c>
      <c r="W28">
        <v>4.5999999999999996</v>
      </c>
      <c r="X28">
        <v>4.4000000000000004</v>
      </c>
      <c r="Y28">
        <v>4.5999999999999996</v>
      </c>
      <c r="AA28" t="s">
        <v>43</v>
      </c>
      <c r="AB28">
        <v>6.3</v>
      </c>
      <c r="AC28">
        <v>6.75</v>
      </c>
      <c r="AD28">
        <f t="shared" si="12"/>
        <v>6.5</v>
      </c>
      <c r="AE28">
        <f t="shared" si="4"/>
        <v>6.95</v>
      </c>
      <c r="AF28">
        <f t="shared" si="9"/>
        <v>6.65</v>
      </c>
      <c r="AG28">
        <f t="shared" si="4"/>
        <v>7.15</v>
      </c>
      <c r="AH28">
        <f t="shared" si="8"/>
        <v>6.75</v>
      </c>
      <c r="AI28">
        <f t="shared" si="10"/>
        <v>7.3500000000000005</v>
      </c>
      <c r="AK28" t="s">
        <v>43</v>
      </c>
      <c r="AL28">
        <v>6.05</v>
      </c>
      <c r="AM28">
        <v>6.4</v>
      </c>
      <c r="AN28">
        <f t="shared" si="5"/>
        <v>5.95</v>
      </c>
      <c r="AO28">
        <v>6.35</v>
      </c>
      <c r="AP28">
        <v>6</v>
      </c>
      <c r="AQ28">
        <v>6.3</v>
      </c>
      <c r="AR28">
        <v>5.9</v>
      </c>
      <c r="AS28">
        <v>6.2</v>
      </c>
      <c r="AU28" t="s">
        <v>43</v>
      </c>
      <c r="AV28">
        <v>7.65</v>
      </c>
      <c r="AW28">
        <v>8.1999999999999993</v>
      </c>
      <c r="AX28">
        <f t="shared" si="13"/>
        <v>7.8500000000000005</v>
      </c>
      <c r="AY28">
        <f t="shared" si="14"/>
        <v>8.3999999999999986</v>
      </c>
      <c r="AZ28">
        <f t="shared" si="15"/>
        <v>8</v>
      </c>
      <c r="BA28">
        <f t="shared" si="14"/>
        <v>8.5999999999999979</v>
      </c>
      <c r="BB28">
        <f t="shared" si="11"/>
        <v>8.15</v>
      </c>
      <c r="BC28">
        <f t="shared" si="11"/>
        <v>8.7499999999999982</v>
      </c>
      <c r="BE28" t="s">
        <v>43</v>
      </c>
      <c r="BF28">
        <v>7.5</v>
      </c>
      <c r="BG28">
        <v>7.9</v>
      </c>
      <c r="BH28">
        <v>7.45</v>
      </c>
      <c r="BI28">
        <v>7.75</v>
      </c>
      <c r="BJ28">
        <v>7.4</v>
      </c>
      <c r="BK28">
        <v>7.5</v>
      </c>
      <c r="BL28">
        <v>7.3</v>
      </c>
      <c r="BM28">
        <v>7.3</v>
      </c>
    </row>
    <row r="29" spans="7:65" hidden="1" x14ac:dyDescent="0.2">
      <c r="G29" t="s">
        <v>81</v>
      </c>
      <c r="H29">
        <v>4.9000000000000004</v>
      </c>
      <c r="I29">
        <v>5.25</v>
      </c>
      <c r="J29">
        <v>5.0999999999999996</v>
      </c>
      <c r="K29">
        <f t="shared" si="1"/>
        <v>5.45</v>
      </c>
      <c r="L29">
        <f t="shared" si="2"/>
        <v>5.3</v>
      </c>
      <c r="M29">
        <f t="shared" si="3"/>
        <v>5.6000000000000005</v>
      </c>
      <c r="N29">
        <f t="shared" si="3"/>
        <v>5.45</v>
      </c>
      <c r="O29">
        <f t="shared" si="6"/>
        <v>5.7</v>
      </c>
      <c r="Q29" t="s">
        <v>81</v>
      </c>
      <c r="R29">
        <v>4.4000000000000004</v>
      </c>
      <c r="S29">
        <v>4.6500000000000004</v>
      </c>
      <c r="T29">
        <v>4.4000000000000004</v>
      </c>
      <c r="U29">
        <v>4.6500000000000004</v>
      </c>
      <c r="V29">
        <v>4.3499999999999996</v>
      </c>
      <c r="W29">
        <v>4.5</v>
      </c>
      <c r="X29">
        <v>4.3</v>
      </c>
      <c r="Y29">
        <v>4.5</v>
      </c>
      <c r="AA29" t="s">
        <v>81</v>
      </c>
      <c r="AB29">
        <v>6.1</v>
      </c>
      <c r="AC29">
        <v>6.55</v>
      </c>
      <c r="AD29">
        <f t="shared" si="12"/>
        <v>6.3</v>
      </c>
      <c r="AE29">
        <f t="shared" si="12"/>
        <v>6.75</v>
      </c>
      <c r="AF29">
        <f t="shared" si="9"/>
        <v>6.45</v>
      </c>
      <c r="AG29">
        <f t="shared" si="4"/>
        <v>6.95</v>
      </c>
      <c r="AH29">
        <f t="shared" si="8"/>
        <v>6.55</v>
      </c>
      <c r="AI29">
        <f t="shared" si="10"/>
        <v>7.15</v>
      </c>
      <c r="AK29" t="s">
        <v>81</v>
      </c>
      <c r="AL29">
        <v>5.9</v>
      </c>
      <c r="AM29">
        <v>6.25</v>
      </c>
      <c r="AN29">
        <f t="shared" si="5"/>
        <v>5.8000000000000007</v>
      </c>
      <c r="AO29">
        <v>6.2</v>
      </c>
      <c r="AP29">
        <v>5.85</v>
      </c>
      <c r="AQ29">
        <v>6.15</v>
      </c>
      <c r="AR29">
        <v>5.8</v>
      </c>
      <c r="AS29">
        <v>6.1</v>
      </c>
      <c r="AU29" t="s">
        <v>81</v>
      </c>
      <c r="AV29">
        <v>7.4</v>
      </c>
      <c r="AW29">
        <v>8</v>
      </c>
      <c r="AX29">
        <f t="shared" si="13"/>
        <v>7.6000000000000005</v>
      </c>
      <c r="AY29">
        <f t="shared" si="14"/>
        <v>8.1999999999999993</v>
      </c>
      <c r="AZ29">
        <f t="shared" si="15"/>
        <v>7.7500000000000009</v>
      </c>
      <c r="BA29">
        <f t="shared" si="14"/>
        <v>8.3999999999999986</v>
      </c>
      <c r="BB29">
        <f t="shared" si="11"/>
        <v>7.9000000000000012</v>
      </c>
      <c r="BC29">
        <f t="shared" si="11"/>
        <v>8.5499999999999989</v>
      </c>
      <c r="BE29" t="s">
        <v>81</v>
      </c>
      <c r="BF29">
        <v>7.3</v>
      </c>
      <c r="BG29">
        <v>7.7</v>
      </c>
      <c r="BH29">
        <v>7.25</v>
      </c>
      <c r="BI29">
        <v>7.65</v>
      </c>
      <c r="BJ29">
        <v>7.2</v>
      </c>
      <c r="BK29">
        <v>7.5</v>
      </c>
      <c r="BL29">
        <v>7.3</v>
      </c>
      <c r="BM29">
        <v>7.3</v>
      </c>
    </row>
    <row r="30" spans="7:65" hidden="1" x14ac:dyDescent="0.2">
      <c r="G30" t="s">
        <v>44</v>
      </c>
      <c r="H30">
        <v>4.6500000000000004</v>
      </c>
      <c r="I30">
        <v>5</v>
      </c>
      <c r="J30">
        <v>4.8499999999999996</v>
      </c>
      <c r="K30">
        <f t="shared" si="1"/>
        <v>5.2</v>
      </c>
      <c r="L30">
        <f t="shared" si="2"/>
        <v>5.05</v>
      </c>
      <c r="M30">
        <f t="shared" si="3"/>
        <v>5.3500000000000005</v>
      </c>
      <c r="N30">
        <f t="shared" si="3"/>
        <v>5.2</v>
      </c>
      <c r="O30">
        <f t="shared" si="6"/>
        <v>5.45</v>
      </c>
      <c r="Q30" t="s">
        <v>44</v>
      </c>
      <c r="R30">
        <v>4.2</v>
      </c>
      <c r="S30">
        <v>4.4000000000000004</v>
      </c>
      <c r="T30">
        <v>4.2</v>
      </c>
      <c r="U30">
        <v>4.4000000000000004</v>
      </c>
      <c r="V30">
        <v>4.2</v>
      </c>
      <c r="W30">
        <v>4.4000000000000004</v>
      </c>
      <c r="X30">
        <v>4.1500000000000004</v>
      </c>
      <c r="Y30">
        <v>4.3499999999999996</v>
      </c>
      <c r="AA30" t="s">
        <v>44</v>
      </c>
      <c r="AB30">
        <v>5.75</v>
      </c>
      <c r="AC30">
        <v>6.2</v>
      </c>
      <c r="AD30">
        <f t="shared" si="12"/>
        <v>5.95</v>
      </c>
      <c r="AE30">
        <f t="shared" si="4"/>
        <v>6.4</v>
      </c>
      <c r="AF30">
        <f t="shared" si="9"/>
        <v>6.1000000000000005</v>
      </c>
      <c r="AG30">
        <f t="shared" si="4"/>
        <v>6.6000000000000005</v>
      </c>
      <c r="AH30">
        <f t="shared" si="8"/>
        <v>6.2</v>
      </c>
      <c r="AI30">
        <f t="shared" si="10"/>
        <v>6.8000000000000007</v>
      </c>
      <c r="AK30" t="s">
        <v>44</v>
      </c>
      <c r="AL30">
        <v>5.6</v>
      </c>
      <c r="AM30">
        <v>5.95</v>
      </c>
      <c r="AN30">
        <f t="shared" si="5"/>
        <v>5.5</v>
      </c>
      <c r="AO30">
        <v>5.95</v>
      </c>
      <c r="AP30">
        <v>5.6</v>
      </c>
      <c r="AQ30">
        <v>5.9</v>
      </c>
      <c r="AR30">
        <v>5.6</v>
      </c>
      <c r="AS30">
        <v>5.9</v>
      </c>
      <c r="AU30" t="s">
        <v>44</v>
      </c>
      <c r="AV30">
        <v>7</v>
      </c>
      <c r="AW30">
        <v>7.55</v>
      </c>
      <c r="AX30">
        <f t="shared" si="13"/>
        <v>7.2</v>
      </c>
      <c r="AY30">
        <f t="shared" si="14"/>
        <v>7.75</v>
      </c>
      <c r="AZ30">
        <f t="shared" si="15"/>
        <v>7.3500000000000005</v>
      </c>
      <c r="BA30">
        <f t="shared" si="14"/>
        <v>7.95</v>
      </c>
      <c r="BB30">
        <f t="shared" si="11"/>
        <v>7.5000000000000009</v>
      </c>
      <c r="BC30">
        <f t="shared" si="11"/>
        <v>8.1</v>
      </c>
      <c r="BE30" t="s">
        <v>44</v>
      </c>
      <c r="BF30">
        <v>7</v>
      </c>
      <c r="BG30">
        <v>7.35</v>
      </c>
      <c r="BH30">
        <v>6.95</v>
      </c>
      <c r="BI30">
        <v>7.35</v>
      </c>
      <c r="BJ30">
        <v>6.9</v>
      </c>
      <c r="BK30">
        <v>7.3</v>
      </c>
      <c r="BL30">
        <v>6.9</v>
      </c>
      <c r="BM30">
        <v>7.3</v>
      </c>
    </row>
    <row r="31" spans="7:65" hidden="1" x14ac:dyDescent="0.2">
      <c r="G31" t="s">
        <v>67</v>
      </c>
      <c r="H31">
        <v>4.4000000000000004</v>
      </c>
      <c r="I31">
        <v>4.7</v>
      </c>
      <c r="J31">
        <v>4.5999999999999996</v>
      </c>
      <c r="K31">
        <f t="shared" si="1"/>
        <v>4.9000000000000004</v>
      </c>
      <c r="L31">
        <f t="shared" si="2"/>
        <v>4.8</v>
      </c>
      <c r="M31">
        <f t="shared" si="3"/>
        <v>5.0500000000000007</v>
      </c>
      <c r="N31">
        <f t="shared" si="3"/>
        <v>4.95</v>
      </c>
      <c r="O31">
        <f t="shared" si="6"/>
        <v>5.15</v>
      </c>
      <c r="Q31" t="s">
        <v>67</v>
      </c>
      <c r="R31">
        <v>4</v>
      </c>
      <c r="S31">
        <v>4.25</v>
      </c>
      <c r="T31">
        <v>4</v>
      </c>
      <c r="U31">
        <v>4.25</v>
      </c>
      <c r="V31">
        <v>4</v>
      </c>
      <c r="W31">
        <v>4.25</v>
      </c>
      <c r="X31">
        <v>4</v>
      </c>
      <c r="Y31">
        <v>4.2</v>
      </c>
      <c r="AA31" t="s">
        <v>67</v>
      </c>
      <c r="AB31">
        <v>5.45</v>
      </c>
      <c r="AC31">
        <v>5.95</v>
      </c>
      <c r="AD31">
        <f t="shared" si="12"/>
        <v>5.65</v>
      </c>
      <c r="AE31">
        <f t="shared" si="4"/>
        <v>6.15</v>
      </c>
      <c r="AF31">
        <f t="shared" si="9"/>
        <v>5.8000000000000007</v>
      </c>
      <c r="AG31">
        <v>6.1</v>
      </c>
      <c r="AH31">
        <v>5.95</v>
      </c>
      <c r="AI31">
        <v>6.25</v>
      </c>
      <c r="AK31" t="s">
        <v>67</v>
      </c>
      <c r="AL31">
        <v>5.4</v>
      </c>
      <c r="AM31">
        <v>5.7</v>
      </c>
      <c r="AN31">
        <f t="shared" si="5"/>
        <v>5.3000000000000007</v>
      </c>
      <c r="AO31">
        <v>5.7</v>
      </c>
      <c r="AP31">
        <v>5.4</v>
      </c>
      <c r="AQ31">
        <v>5.7</v>
      </c>
      <c r="AR31">
        <v>5.4</v>
      </c>
      <c r="AS31">
        <v>5.7</v>
      </c>
      <c r="AU31" t="s">
        <v>67</v>
      </c>
      <c r="AV31">
        <v>6.65</v>
      </c>
      <c r="AW31">
        <v>7.2</v>
      </c>
      <c r="AX31">
        <f t="shared" si="13"/>
        <v>6.8500000000000005</v>
      </c>
      <c r="AY31">
        <f t="shared" si="14"/>
        <v>7.4</v>
      </c>
      <c r="AZ31">
        <f t="shared" si="15"/>
        <v>7.0000000000000009</v>
      </c>
      <c r="BA31">
        <f t="shared" si="14"/>
        <v>7.6000000000000005</v>
      </c>
      <c r="BB31">
        <f t="shared" si="11"/>
        <v>7.1500000000000012</v>
      </c>
      <c r="BC31">
        <f t="shared" si="11"/>
        <v>7.7500000000000009</v>
      </c>
      <c r="BE31" t="s">
        <v>67</v>
      </c>
      <c r="BF31">
        <v>6.65</v>
      </c>
      <c r="BG31">
        <v>7.05</v>
      </c>
      <c r="BH31">
        <v>6.7</v>
      </c>
      <c r="BI31">
        <v>7.05</v>
      </c>
      <c r="BJ31">
        <v>6.7</v>
      </c>
      <c r="BK31">
        <v>7.05</v>
      </c>
      <c r="BL31">
        <v>6.65</v>
      </c>
      <c r="BM31">
        <v>7</v>
      </c>
    </row>
    <row r="32" spans="7:65" hidden="1" x14ac:dyDescent="0.2">
      <c r="G32" t="s">
        <v>168</v>
      </c>
      <c r="H32">
        <v>5.35</v>
      </c>
      <c r="I32">
        <v>5.64</v>
      </c>
      <c r="J32">
        <v>5.5</v>
      </c>
      <c r="K32">
        <v>5.8</v>
      </c>
      <c r="L32">
        <f t="shared" si="2"/>
        <v>5.7</v>
      </c>
      <c r="M32">
        <f t="shared" si="3"/>
        <v>5.95</v>
      </c>
      <c r="N32">
        <f t="shared" si="3"/>
        <v>5.8500000000000005</v>
      </c>
      <c r="O32">
        <v>6.1</v>
      </c>
      <c r="Q32" t="s">
        <v>168</v>
      </c>
      <c r="R32">
        <v>5.6</v>
      </c>
      <c r="S32">
        <v>4.8499999999999996</v>
      </c>
      <c r="T32">
        <v>4.5999999999999996</v>
      </c>
      <c r="U32">
        <v>4.8499999999999996</v>
      </c>
      <c r="V32">
        <v>4.55</v>
      </c>
      <c r="W32">
        <v>4.75</v>
      </c>
      <c r="X32">
        <v>4.45</v>
      </c>
      <c r="Y32">
        <v>4.7</v>
      </c>
      <c r="AA32" t="s">
        <v>168</v>
      </c>
      <c r="AB32">
        <v>6.8</v>
      </c>
      <c r="AC32">
        <v>7</v>
      </c>
      <c r="AD32">
        <f t="shared" si="12"/>
        <v>7</v>
      </c>
      <c r="AE32">
        <f t="shared" si="4"/>
        <v>7.2</v>
      </c>
      <c r="AF32">
        <f t="shared" si="9"/>
        <v>7.15</v>
      </c>
      <c r="AG32">
        <v>7.4</v>
      </c>
      <c r="AH32">
        <v>7.35</v>
      </c>
      <c r="AI32">
        <v>7.6</v>
      </c>
      <c r="AK32" t="s">
        <v>168</v>
      </c>
      <c r="AL32">
        <v>6.2</v>
      </c>
      <c r="AM32">
        <v>6.55</v>
      </c>
      <c r="AN32">
        <v>6.15</v>
      </c>
      <c r="AO32">
        <v>6.5</v>
      </c>
      <c r="AP32">
        <v>6.1</v>
      </c>
      <c r="AQ32">
        <v>6.4</v>
      </c>
      <c r="AR32">
        <v>6</v>
      </c>
      <c r="AS32">
        <v>6.25</v>
      </c>
      <c r="AU32" t="s">
        <v>168</v>
      </c>
      <c r="AV32">
        <v>8.3000000000000007</v>
      </c>
      <c r="AW32">
        <v>8.6</v>
      </c>
      <c r="AX32">
        <f t="shared" si="13"/>
        <v>8.5</v>
      </c>
      <c r="AY32">
        <f t="shared" si="14"/>
        <v>8.7999999999999989</v>
      </c>
      <c r="AZ32">
        <f t="shared" si="15"/>
        <v>8.65</v>
      </c>
      <c r="BA32">
        <v>8.9499999999999993</v>
      </c>
      <c r="BB32">
        <v>8.75</v>
      </c>
      <c r="BC32">
        <v>9</v>
      </c>
      <c r="BE32" t="s">
        <v>168</v>
      </c>
      <c r="BF32">
        <v>7.7</v>
      </c>
      <c r="BG32">
        <v>8.0500000000000007</v>
      </c>
      <c r="BH32">
        <v>7.65</v>
      </c>
      <c r="BI32">
        <v>7.75</v>
      </c>
      <c r="BJ32">
        <v>7.4</v>
      </c>
      <c r="BK32">
        <v>7.5</v>
      </c>
      <c r="BL32">
        <v>7.3</v>
      </c>
      <c r="BM32">
        <v>7.3</v>
      </c>
    </row>
    <row r="33" spans="5:65" hidden="1" x14ac:dyDescent="0.2">
      <c r="G33" t="s">
        <v>50</v>
      </c>
      <c r="H33">
        <v>5.15</v>
      </c>
      <c r="I33">
        <v>5.45</v>
      </c>
      <c r="J33">
        <v>5.35</v>
      </c>
      <c r="K33">
        <f t="shared" si="1"/>
        <v>5.65</v>
      </c>
      <c r="L33">
        <f t="shared" si="2"/>
        <v>5.55</v>
      </c>
      <c r="M33">
        <f t="shared" si="3"/>
        <v>5.8000000000000007</v>
      </c>
      <c r="N33">
        <v>5.6</v>
      </c>
      <c r="O33">
        <f t="shared" si="6"/>
        <v>5.9</v>
      </c>
      <c r="Q33" t="s">
        <v>50</v>
      </c>
      <c r="R33">
        <v>4.5</v>
      </c>
      <c r="S33">
        <v>4.75</v>
      </c>
      <c r="T33">
        <v>4.5</v>
      </c>
      <c r="U33">
        <v>4.75</v>
      </c>
      <c r="V33">
        <v>4.45</v>
      </c>
      <c r="W33">
        <v>4.7</v>
      </c>
      <c r="X33">
        <v>4.4000000000000004</v>
      </c>
      <c r="Y33">
        <v>4.5999999999999996</v>
      </c>
      <c r="AA33" t="s">
        <v>50</v>
      </c>
      <c r="AB33">
        <v>6.55</v>
      </c>
      <c r="AC33">
        <v>6.8</v>
      </c>
      <c r="AD33">
        <f t="shared" si="12"/>
        <v>6.75</v>
      </c>
      <c r="AE33">
        <f t="shared" si="4"/>
        <v>7</v>
      </c>
      <c r="AF33">
        <f t="shared" si="9"/>
        <v>6.9</v>
      </c>
      <c r="AG33">
        <f t="shared" si="4"/>
        <v>7.2</v>
      </c>
      <c r="AH33">
        <f t="shared" si="8"/>
        <v>7</v>
      </c>
      <c r="AI33">
        <f t="shared" si="10"/>
        <v>7.4</v>
      </c>
      <c r="AK33" t="s">
        <v>50</v>
      </c>
      <c r="AL33">
        <v>6.05</v>
      </c>
      <c r="AM33">
        <v>6.4</v>
      </c>
      <c r="AN33">
        <v>6.05</v>
      </c>
      <c r="AO33">
        <v>6.4</v>
      </c>
      <c r="AP33">
        <v>6</v>
      </c>
      <c r="AQ33">
        <v>6.3</v>
      </c>
      <c r="AR33">
        <v>5.9</v>
      </c>
      <c r="AS33">
        <v>6.2</v>
      </c>
      <c r="AU33" t="s">
        <v>50</v>
      </c>
      <c r="AV33">
        <v>8</v>
      </c>
      <c r="AW33">
        <v>8.25</v>
      </c>
      <c r="AX33">
        <f t="shared" si="13"/>
        <v>8.1999999999999993</v>
      </c>
      <c r="AY33">
        <f t="shared" si="14"/>
        <v>8.4499999999999993</v>
      </c>
      <c r="AZ33">
        <f t="shared" si="15"/>
        <v>8.35</v>
      </c>
      <c r="BA33">
        <f t="shared" si="14"/>
        <v>8.6499999999999986</v>
      </c>
      <c r="BB33">
        <f t="shared" si="11"/>
        <v>8.5</v>
      </c>
      <c r="BC33">
        <f t="shared" si="11"/>
        <v>8.7999999999999989</v>
      </c>
      <c r="BE33" t="s">
        <v>50</v>
      </c>
      <c r="BF33">
        <v>7.5</v>
      </c>
      <c r="BG33">
        <v>7.9</v>
      </c>
      <c r="BH33">
        <v>7.45</v>
      </c>
      <c r="BI33">
        <v>7.75</v>
      </c>
      <c r="BJ33">
        <v>7.4</v>
      </c>
      <c r="BK33">
        <v>7.5</v>
      </c>
      <c r="BL33">
        <v>7.3</v>
      </c>
      <c r="BM33">
        <v>7.3</v>
      </c>
    </row>
    <row r="34" spans="5:65" hidden="1" x14ac:dyDescent="0.2">
      <c r="G34" t="s">
        <v>76</v>
      </c>
      <c r="H34">
        <v>5</v>
      </c>
      <c r="I34">
        <v>5.25</v>
      </c>
      <c r="J34">
        <v>5.2</v>
      </c>
      <c r="K34">
        <f t="shared" si="1"/>
        <v>5.45</v>
      </c>
      <c r="L34">
        <f t="shared" si="2"/>
        <v>5.4</v>
      </c>
      <c r="M34">
        <f t="shared" si="3"/>
        <v>5.6000000000000005</v>
      </c>
      <c r="N34">
        <v>4.45</v>
      </c>
      <c r="O34">
        <f t="shared" si="6"/>
        <v>5.7</v>
      </c>
      <c r="Q34" t="s">
        <v>76</v>
      </c>
      <c r="R34">
        <v>4.4000000000000004</v>
      </c>
      <c r="S34">
        <v>4.5999999999999996</v>
      </c>
      <c r="T34">
        <v>4.4000000000000004</v>
      </c>
      <c r="U34">
        <v>4.5999999999999996</v>
      </c>
      <c r="V34">
        <v>4.3499999999999996</v>
      </c>
      <c r="W34">
        <v>4.5999999999999996</v>
      </c>
      <c r="X34">
        <v>4.3</v>
      </c>
      <c r="Y34">
        <v>4.55</v>
      </c>
      <c r="AA34" t="s">
        <v>76</v>
      </c>
      <c r="AB34">
        <v>6.3</v>
      </c>
      <c r="AC34">
        <v>6.55</v>
      </c>
      <c r="AD34">
        <f t="shared" si="12"/>
        <v>6.5</v>
      </c>
      <c r="AE34">
        <f t="shared" si="4"/>
        <v>6.75</v>
      </c>
      <c r="AF34">
        <f t="shared" si="9"/>
        <v>6.65</v>
      </c>
      <c r="AG34">
        <f t="shared" si="4"/>
        <v>6.95</v>
      </c>
      <c r="AH34">
        <f t="shared" si="8"/>
        <v>6.75</v>
      </c>
      <c r="AI34">
        <f t="shared" si="10"/>
        <v>7.15</v>
      </c>
      <c r="AK34" t="s">
        <v>76</v>
      </c>
      <c r="AL34">
        <v>5.9</v>
      </c>
      <c r="AM34">
        <v>6.2</v>
      </c>
      <c r="AN34">
        <v>5.9</v>
      </c>
      <c r="AO34">
        <v>6.2</v>
      </c>
      <c r="AP34">
        <v>5.85</v>
      </c>
      <c r="AQ34">
        <v>6.15</v>
      </c>
      <c r="AR34">
        <v>5.8</v>
      </c>
      <c r="AS34">
        <v>6.1</v>
      </c>
      <c r="AU34" t="s">
        <v>76</v>
      </c>
      <c r="AV34">
        <v>7.65</v>
      </c>
      <c r="AW34">
        <v>8</v>
      </c>
      <c r="AX34">
        <f t="shared" si="13"/>
        <v>7.8500000000000005</v>
      </c>
      <c r="AY34">
        <f t="shared" si="14"/>
        <v>8.1999999999999993</v>
      </c>
      <c r="AZ34">
        <f t="shared" si="15"/>
        <v>8</v>
      </c>
      <c r="BA34">
        <f t="shared" si="14"/>
        <v>8.3999999999999986</v>
      </c>
      <c r="BB34">
        <f t="shared" si="11"/>
        <v>8.15</v>
      </c>
      <c r="BC34">
        <f t="shared" si="11"/>
        <v>8.5499999999999989</v>
      </c>
      <c r="BE34" t="s">
        <v>76</v>
      </c>
      <c r="BF34">
        <v>7.3</v>
      </c>
      <c r="BG34">
        <v>7.7</v>
      </c>
      <c r="BH34">
        <v>7.25</v>
      </c>
      <c r="BI34">
        <v>7.65</v>
      </c>
      <c r="BJ34">
        <v>7.2</v>
      </c>
      <c r="BK34">
        <v>7.5</v>
      </c>
      <c r="BL34">
        <v>7.17</v>
      </c>
      <c r="BM34">
        <v>7.3</v>
      </c>
    </row>
    <row r="35" spans="5:65" hidden="1" x14ac:dyDescent="0.2">
      <c r="G35" t="s">
        <v>77</v>
      </c>
      <c r="H35">
        <v>4.8499999999999996</v>
      </c>
      <c r="I35">
        <v>5.0999999999999996</v>
      </c>
      <c r="J35">
        <v>5.05</v>
      </c>
      <c r="K35">
        <f t="shared" si="1"/>
        <v>5.3</v>
      </c>
      <c r="L35">
        <f t="shared" si="2"/>
        <v>5.25</v>
      </c>
      <c r="M35">
        <f t="shared" si="3"/>
        <v>5.45</v>
      </c>
      <c r="N35">
        <v>5.3</v>
      </c>
      <c r="O35">
        <f t="shared" si="6"/>
        <v>5.55</v>
      </c>
      <c r="Q35" t="s">
        <v>77</v>
      </c>
      <c r="R35">
        <v>4.3</v>
      </c>
      <c r="S35">
        <v>4.5</v>
      </c>
      <c r="T35">
        <v>4.3</v>
      </c>
      <c r="U35">
        <v>4.5</v>
      </c>
      <c r="V35">
        <v>4.25</v>
      </c>
      <c r="W35">
        <v>4.5</v>
      </c>
      <c r="X35">
        <v>4.25</v>
      </c>
      <c r="Y35">
        <v>4.45</v>
      </c>
      <c r="AA35" t="s">
        <v>77</v>
      </c>
      <c r="AB35">
        <v>6.1</v>
      </c>
      <c r="AC35">
        <v>6.4</v>
      </c>
      <c r="AD35">
        <v>6.3</v>
      </c>
      <c r="AE35">
        <f t="shared" si="12"/>
        <v>6.6000000000000005</v>
      </c>
      <c r="AF35">
        <f t="shared" si="9"/>
        <v>6.45</v>
      </c>
      <c r="AG35">
        <f t="shared" si="4"/>
        <v>6.8000000000000007</v>
      </c>
      <c r="AH35">
        <f t="shared" si="8"/>
        <v>6.55</v>
      </c>
      <c r="AI35">
        <f t="shared" si="10"/>
        <v>7.0000000000000009</v>
      </c>
      <c r="AK35" t="s">
        <v>77</v>
      </c>
      <c r="AL35">
        <v>5.75</v>
      </c>
      <c r="AM35">
        <v>6.1</v>
      </c>
      <c r="AN35">
        <v>5.75</v>
      </c>
      <c r="AO35">
        <v>6.1</v>
      </c>
      <c r="AP35">
        <v>5.75</v>
      </c>
      <c r="AQ35">
        <v>6</v>
      </c>
      <c r="AR35">
        <v>5.7</v>
      </c>
      <c r="AS35">
        <v>6</v>
      </c>
      <c r="AU35" t="s">
        <v>77</v>
      </c>
      <c r="AV35">
        <v>7.4</v>
      </c>
      <c r="AW35">
        <v>7.8</v>
      </c>
      <c r="AX35">
        <f t="shared" si="13"/>
        <v>7.6000000000000005</v>
      </c>
      <c r="AY35">
        <f t="shared" si="14"/>
        <v>8</v>
      </c>
      <c r="AZ35">
        <f t="shared" si="15"/>
        <v>7.7500000000000009</v>
      </c>
      <c r="BA35">
        <f t="shared" si="14"/>
        <v>8.1999999999999993</v>
      </c>
      <c r="BB35">
        <f t="shared" si="11"/>
        <v>7.9000000000000012</v>
      </c>
      <c r="BC35">
        <f t="shared" si="11"/>
        <v>8.35</v>
      </c>
      <c r="BE35" t="s">
        <v>77</v>
      </c>
      <c r="BF35">
        <v>7.15</v>
      </c>
      <c r="BG35">
        <v>7.54</v>
      </c>
      <c r="BH35">
        <v>7.1</v>
      </c>
      <c r="BI35">
        <v>7.5</v>
      </c>
      <c r="BJ35">
        <v>7.1</v>
      </c>
      <c r="BK35">
        <v>7.45</v>
      </c>
      <c r="BL35">
        <v>7</v>
      </c>
      <c r="BM35">
        <v>7.3</v>
      </c>
    </row>
    <row r="36" spans="5:65" hidden="1" x14ac:dyDescent="0.2">
      <c r="G36" t="s">
        <v>46</v>
      </c>
      <c r="H36">
        <v>4.7</v>
      </c>
      <c r="I36">
        <v>4.95</v>
      </c>
      <c r="J36">
        <v>4.9000000000000004</v>
      </c>
      <c r="K36">
        <f t="shared" si="1"/>
        <v>5.15</v>
      </c>
      <c r="L36">
        <f t="shared" si="2"/>
        <v>5.1000000000000005</v>
      </c>
      <c r="M36">
        <f t="shared" si="3"/>
        <v>5.3000000000000007</v>
      </c>
      <c r="N36">
        <v>5.15</v>
      </c>
      <c r="O36">
        <f t="shared" si="6"/>
        <v>5.4</v>
      </c>
      <c r="Q36" t="s">
        <v>46</v>
      </c>
      <c r="R36">
        <v>4.2</v>
      </c>
      <c r="S36">
        <v>4.45</v>
      </c>
      <c r="T36">
        <v>4.2</v>
      </c>
      <c r="U36">
        <v>4.45</v>
      </c>
      <c r="V36">
        <v>4.2</v>
      </c>
      <c r="W36">
        <v>4.4000000000000004</v>
      </c>
      <c r="X36">
        <v>4.1500000000000004</v>
      </c>
      <c r="Y36">
        <v>4.4000000000000004</v>
      </c>
      <c r="AA36" t="s">
        <v>46</v>
      </c>
      <c r="AB36">
        <v>5.9</v>
      </c>
      <c r="AC36">
        <v>6.2</v>
      </c>
      <c r="AD36">
        <v>6.1</v>
      </c>
      <c r="AE36">
        <f t="shared" si="4"/>
        <v>6.4</v>
      </c>
      <c r="AF36">
        <f t="shared" si="9"/>
        <v>6.25</v>
      </c>
      <c r="AG36">
        <f t="shared" si="4"/>
        <v>6.6000000000000005</v>
      </c>
      <c r="AH36">
        <f t="shared" si="8"/>
        <v>6.35</v>
      </c>
      <c r="AI36">
        <f t="shared" si="10"/>
        <v>6.8000000000000007</v>
      </c>
      <c r="AK36" t="s">
        <v>46</v>
      </c>
      <c r="AL36">
        <v>5.6</v>
      </c>
      <c r="AM36">
        <v>5.95</v>
      </c>
      <c r="AN36">
        <v>5.6</v>
      </c>
      <c r="AO36">
        <v>5.95</v>
      </c>
      <c r="AP36">
        <v>5.6</v>
      </c>
      <c r="AQ36">
        <v>5.95</v>
      </c>
      <c r="AR36">
        <v>5.6</v>
      </c>
      <c r="AS36">
        <v>5.9</v>
      </c>
      <c r="AU36" t="s">
        <v>46</v>
      </c>
      <c r="AV36">
        <v>7.2</v>
      </c>
      <c r="AW36">
        <v>7.6</v>
      </c>
      <c r="AX36">
        <f t="shared" si="13"/>
        <v>7.4</v>
      </c>
      <c r="AY36">
        <f t="shared" si="14"/>
        <v>7.8</v>
      </c>
      <c r="AZ36">
        <f t="shared" si="15"/>
        <v>7.5500000000000007</v>
      </c>
      <c r="BA36">
        <f t="shared" si="14"/>
        <v>8</v>
      </c>
      <c r="BB36">
        <f t="shared" si="11"/>
        <v>7.7000000000000011</v>
      </c>
      <c r="BC36">
        <v>8</v>
      </c>
      <c r="BE36" t="s">
        <v>46</v>
      </c>
      <c r="BF36">
        <v>7</v>
      </c>
      <c r="BG36">
        <v>7.35</v>
      </c>
      <c r="BH36">
        <v>6.95</v>
      </c>
      <c r="BI36">
        <v>7.35</v>
      </c>
      <c r="BJ36">
        <v>6.9</v>
      </c>
      <c r="BK36">
        <v>7.3</v>
      </c>
      <c r="BL36">
        <v>6.9</v>
      </c>
      <c r="BM36">
        <v>7.3</v>
      </c>
    </row>
    <row r="37" spans="5:65" hidden="1" x14ac:dyDescent="0.2">
      <c r="G37" t="s">
        <v>82</v>
      </c>
      <c r="H37">
        <v>4.5999999999999996</v>
      </c>
      <c r="I37">
        <v>4.8</v>
      </c>
      <c r="J37">
        <v>4.8</v>
      </c>
      <c r="K37">
        <f t="shared" si="1"/>
        <v>5</v>
      </c>
      <c r="L37">
        <f t="shared" si="2"/>
        <v>5</v>
      </c>
      <c r="M37">
        <f t="shared" si="3"/>
        <v>5.15</v>
      </c>
      <c r="N37">
        <v>5</v>
      </c>
      <c r="O37">
        <f t="shared" si="6"/>
        <v>5.25</v>
      </c>
      <c r="Q37" t="s">
        <v>82</v>
      </c>
      <c r="R37">
        <v>4.0999999999999996</v>
      </c>
      <c r="S37">
        <v>4.3</v>
      </c>
      <c r="T37">
        <v>4.0999999999999996</v>
      </c>
      <c r="U37">
        <v>4.3</v>
      </c>
      <c r="V37">
        <v>4.0999999999999996</v>
      </c>
      <c r="W37">
        <v>4.3499999999999996</v>
      </c>
      <c r="X37">
        <v>4.0999999999999996</v>
      </c>
      <c r="Y37">
        <v>4.3</v>
      </c>
      <c r="AA37" t="s">
        <v>82</v>
      </c>
      <c r="AB37">
        <v>5.75</v>
      </c>
      <c r="AC37">
        <v>6.1</v>
      </c>
      <c r="AD37">
        <f t="shared" si="12"/>
        <v>5.95</v>
      </c>
      <c r="AE37">
        <f t="shared" si="4"/>
        <v>6.3</v>
      </c>
      <c r="AF37">
        <f t="shared" si="9"/>
        <v>6.1000000000000005</v>
      </c>
      <c r="AG37">
        <f t="shared" si="4"/>
        <v>6.5</v>
      </c>
      <c r="AH37">
        <v>6.3</v>
      </c>
      <c r="AI37">
        <f t="shared" si="10"/>
        <v>6.7</v>
      </c>
      <c r="AK37" t="s">
        <v>82</v>
      </c>
      <c r="AL37">
        <v>5.5</v>
      </c>
      <c r="AM37">
        <v>5.8</v>
      </c>
      <c r="AN37">
        <v>5.5</v>
      </c>
      <c r="AO37">
        <v>5.8</v>
      </c>
      <c r="AP37">
        <v>5.5</v>
      </c>
      <c r="AQ37">
        <v>5.8</v>
      </c>
      <c r="AR37">
        <v>5.5</v>
      </c>
      <c r="AS37">
        <v>5.8</v>
      </c>
      <c r="AU37" t="s">
        <v>82</v>
      </c>
      <c r="AV37">
        <v>7</v>
      </c>
      <c r="AW37">
        <v>7.4</v>
      </c>
      <c r="AX37">
        <f t="shared" si="13"/>
        <v>7.2</v>
      </c>
      <c r="AY37">
        <f t="shared" si="14"/>
        <v>7.6000000000000005</v>
      </c>
      <c r="AZ37">
        <f t="shared" si="15"/>
        <v>7.3500000000000005</v>
      </c>
      <c r="BA37">
        <v>7.6</v>
      </c>
      <c r="BB37">
        <f t="shared" si="11"/>
        <v>7.5000000000000009</v>
      </c>
      <c r="BC37">
        <v>7.6</v>
      </c>
      <c r="BE37" t="s">
        <v>82</v>
      </c>
      <c r="BF37">
        <v>6.8</v>
      </c>
      <c r="BG37">
        <v>7.2</v>
      </c>
      <c r="BH37">
        <v>6.8</v>
      </c>
      <c r="BI37">
        <v>7.2</v>
      </c>
      <c r="BJ37">
        <v>6.8</v>
      </c>
      <c r="BK37">
        <v>7.15</v>
      </c>
      <c r="BL37">
        <v>6.75</v>
      </c>
      <c r="BM37">
        <v>7.15</v>
      </c>
    </row>
    <row r="38" spans="5:65" hidden="1" x14ac:dyDescent="0.2">
      <c r="G38" t="s">
        <v>45</v>
      </c>
      <c r="H38">
        <v>4.3499999999999996</v>
      </c>
      <c r="I38">
        <v>4.55</v>
      </c>
      <c r="J38">
        <v>4.55</v>
      </c>
      <c r="K38">
        <f t="shared" si="1"/>
        <v>4.75</v>
      </c>
      <c r="L38">
        <f t="shared" si="2"/>
        <v>4.75</v>
      </c>
      <c r="M38">
        <f t="shared" si="3"/>
        <v>4.9000000000000004</v>
      </c>
      <c r="N38">
        <v>4.8</v>
      </c>
      <c r="O38">
        <f t="shared" si="6"/>
        <v>5</v>
      </c>
      <c r="Q38" t="s">
        <v>45</v>
      </c>
      <c r="R38">
        <v>3.95</v>
      </c>
      <c r="S38">
        <v>4.1500000000000004</v>
      </c>
      <c r="T38">
        <v>3.95</v>
      </c>
      <c r="U38">
        <v>4.1500000000000004</v>
      </c>
      <c r="V38">
        <v>4</v>
      </c>
      <c r="W38">
        <v>4.2</v>
      </c>
      <c r="X38">
        <v>4</v>
      </c>
      <c r="Y38">
        <v>4.2</v>
      </c>
      <c r="AA38" t="s">
        <v>45</v>
      </c>
      <c r="AB38">
        <v>5.45</v>
      </c>
      <c r="AC38">
        <v>5.6</v>
      </c>
      <c r="AD38">
        <f t="shared" si="12"/>
        <v>5.65</v>
      </c>
      <c r="AE38">
        <v>5.65</v>
      </c>
      <c r="AF38">
        <v>5.7</v>
      </c>
      <c r="AG38">
        <v>5.7</v>
      </c>
      <c r="AH38">
        <v>5.85</v>
      </c>
      <c r="AI38">
        <v>5.85</v>
      </c>
      <c r="AK38" t="s">
        <v>45</v>
      </c>
      <c r="AL38">
        <v>5.3</v>
      </c>
      <c r="AM38">
        <v>5.55</v>
      </c>
      <c r="AN38">
        <v>5.3</v>
      </c>
      <c r="AO38">
        <v>5.55</v>
      </c>
      <c r="AP38">
        <v>5.3</v>
      </c>
      <c r="AQ38">
        <v>5.6</v>
      </c>
      <c r="AR38">
        <v>5.3</v>
      </c>
      <c r="AS38">
        <v>5.6</v>
      </c>
      <c r="AU38" t="s">
        <v>45</v>
      </c>
      <c r="AV38">
        <v>6.65</v>
      </c>
      <c r="AW38">
        <v>7.05</v>
      </c>
      <c r="AX38">
        <f t="shared" si="13"/>
        <v>6.8500000000000005</v>
      </c>
      <c r="AY38">
        <v>6.95</v>
      </c>
      <c r="AZ38">
        <v>6.9</v>
      </c>
      <c r="BA38">
        <v>6.9</v>
      </c>
      <c r="BB38">
        <v>6.9</v>
      </c>
      <c r="BC38">
        <v>6.9</v>
      </c>
      <c r="BE38" t="s">
        <v>45</v>
      </c>
      <c r="BF38">
        <v>6.55</v>
      </c>
      <c r="BG38">
        <v>6.9</v>
      </c>
      <c r="BH38">
        <v>6.55</v>
      </c>
      <c r="BI38">
        <v>6.9</v>
      </c>
      <c r="BJ38">
        <v>6.55</v>
      </c>
      <c r="BK38">
        <v>6.9</v>
      </c>
      <c r="BL38">
        <v>6.55</v>
      </c>
      <c r="BM38">
        <v>6.9</v>
      </c>
    </row>
    <row r="39" spans="5:65" hidden="1" x14ac:dyDescent="0.2">
      <c r="G39" t="s">
        <v>68</v>
      </c>
      <c r="H39">
        <v>4.0999999999999996</v>
      </c>
      <c r="I39">
        <v>4.1500000000000004</v>
      </c>
      <c r="J39">
        <v>4.3</v>
      </c>
      <c r="K39">
        <f t="shared" si="1"/>
        <v>4.3500000000000005</v>
      </c>
      <c r="L39">
        <f t="shared" si="2"/>
        <v>4.5</v>
      </c>
      <c r="M39">
        <f t="shared" si="3"/>
        <v>4.5000000000000009</v>
      </c>
      <c r="N39">
        <v>4.5999999999999996</v>
      </c>
      <c r="O39">
        <f t="shared" si="6"/>
        <v>4.6000000000000005</v>
      </c>
      <c r="Q39" t="s">
        <v>68</v>
      </c>
      <c r="R39">
        <v>3.75</v>
      </c>
      <c r="S39">
        <v>4</v>
      </c>
      <c r="T39">
        <v>3.75</v>
      </c>
      <c r="U39">
        <v>4</v>
      </c>
      <c r="V39">
        <v>3.85</v>
      </c>
      <c r="W39">
        <v>4.05</v>
      </c>
      <c r="X39">
        <v>3.85</v>
      </c>
      <c r="Y39">
        <v>4.0999999999999996</v>
      </c>
      <c r="AA39" t="s">
        <v>68</v>
      </c>
      <c r="AB39">
        <v>5.0999999999999996</v>
      </c>
      <c r="AC39">
        <v>5.0999999999999996</v>
      </c>
      <c r="AD39">
        <f t="shared" si="12"/>
        <v>5.3</v>
      </c>
      <c r="AE39">
        <v>5.0999999999999996</v>
      </c>
      <c r="AF39">
        <v>5.25</v>
      </c>
      <c r="AG39">
        <v>5.25</v>
      </c>
      <c r="AH39">
        <f t="shared" si="8"/>
        <v>5.35</v>
      </c>
      <c r="AI39">
        <v>5.35</v>
      </c>
      <c r="AK39" t="s">
        <v>68</v>
      </c>
      <c r="AL39">
        <v>5.0999999999999996</v>
      </c>
      <c r="AM39">
        <v>5.0999999999999996</v>
      </c>
      <c r="AN39">
        <v>5.0999999999999996</v>
      </c>
      <c r="AO39">
        <v>5.0999999999999996</v>
      </c>
      <c r="AP39">
        <v>5.0999999999999996</v>
      </c>
      <c r="AQ39">
        <v>5.25</v>
      </c>
      <c r="AR39">
        <v>5.15</v>
      </c>
      <c r="AS39">
        <v>5.35</v>
      </c>
      <c r="AU39" t="s">
        <v>68</v>
      </c>
      <c r="AV39">
        <v>6.35</v>
      </c>
      <c r="AW39">
        <v>6.45</v>
      </c>
      <c r="AX39">
        <v>6.35</v>
      </c>
      <c r="AY39">
        <v>6.35</v>
      </c>
      <c r="AZ39">
        <v>6.3</v>
      </c>
      <c r="BA39">
        <v>6.3</v>
      </c>
      <c r="BB39">
        <v>6.35</v>
      </c>
      <c r="BC39">
        <v>6.35</v>
      </c>
      <c r="BE39" t="s">
        <v>68</v>
      </c>
      <c r="BF39">
        <v>6.3</v>
      </c>
      <c r="BG39">
        <v>6.44</v>
      </c>
      <c r="BH39">
        <v>6.35</v>
      </c>
      <c r="BI39">
        <v>6.35</v>
      </c>
      <c r="BJ39">
        <v>6.35</v>
      </c>
      <c r="BK39">
        <v>6.35</v>
      </c>
      <c r="BL39">
        <v>6.35</v>
      </c>
      <c r="BM39">
        <v>6.35</v>
      </c>
    </row>
    <row r="40" spans="5:65" hidden="1" x14ac:dyDescent="0.2">
      <c r="G40" t="s">
        <v>71</v>
      </c>
      <c r="H40" s="142">
        <v>174</v>
      </c>
      <c r="I40" s="142"/>
      <c r="J40" s="142">
        <v>197</v>
      </c>
      <c r="K40" s="142"/>
      <c r="L40" s="142">
        <v>220</v>
      </c>
      <c r="M40" s="142"/>
      <c r="N40" s="142">
        <v>243</v>
      </c>
      <c r="O40" s="142"/>
      <c r="R40" s="142">
        <v>174</v>
      </c>
      <c r="S40" s="142"/>
      <c r="T40" s="142">
        <v>197</v>
      </c>
      <c r="U40" s="142"/>
      <c r="V40" s="142">
        <v>220</v>
      </c>
      <c r="W40" s="142"/>
      <c r="X40" s="142">
        <v>243</v>
      </c>
      <c r="Y40" s="142"/>
      <c r="AB40" s="142">
        <v>192</v>
      </c>
      <c r="AC40" s="142"/>
      <c r="AD40" s="142">
        <v>215</v>
      </c>
      <c r="AE40" s="142"/>
      <c r="AF40" s="142">
        <v>238</v>
      </c>
      <c r="AG40" s="142"/>
      <c r="AH40" s="142">
        <v>261</v>
      </c>
      <c r="AI40" s="142"/>
      <c r="AL40" s="142">
        <v>192</v>
      </c>
      <c r="AM40" s="142"/>
      <c r="AN40" s="142">
        <v>215</v>
      </c>
      <c r="AO40" s="142"/>
      <c r="AP40" s="142">
        <v>238</v>
      </c>
      <c r="AQ40" s="142"/>
      <c r="AR40" s="142">
        <v>261</v>
      </c>
      <c r="AS40" s="142"/>
      <c r="AV40" s="142">
        <v>214</v>
      </c>
      <c r="AW40" s="142"/>
      <c r="AX40" s="142">
        <v>237</v>
      </c>
      <c r="AY40" s="142"/>
      <c r="AZ40" s="142">
        <v>260</v>
      </c>
      <c r="BA40" s="142"/>
      <c r="BB40" s="142">
        <v>283</v>
      </c>
      <c r="BC40" s="142"/>
      <c r="BF40" s="142">
        <v>214</v>
      </c>
      <c r="BG40" s="142"/>
      <c r="BH40" s="142">
        <v>237</v>
      </c>
      <c r="BI40" s="142"/>
      <c r="BJ40" s="142">
        <v>260</v>
      </c>
      <c r="BK40" s="142"/>
      <c r="BL40" s="142">
        <v>283</v>
      </c>
      <c r="BM40" s="142"/>
    </row>
    <row r="41" spans="5:65" hidden="1" x14ac:dyDescent="0.2">
      <c r="G41" t="s">
        <v>72</v>
      </c>
      <c r="H41" s="142">
        <v>50</v>
      </c>
      <c r="I41" s="142"/>
      <c r="J41" s="142">
        <v>60</v>
      </c>
      <c r="K41" s="142"/>
      <c r="L41" s="142">
        <v>70</v>
      </c>
      <c r="M41" s="142"/>
      <c r="N41" s="142">
        <v>80</v>
      </c>
      <c r="O41" s="142"/>
      <c r="R41" s="142">
        <v>50</v>
      </c>
      <c r="S41" s="142"/>
      <c r="T41" s="142">
        <v>60</v>
      </c>
      <c r="U41" s="142"/>
      <c r="V41" s="142">
        <v>70</v>
      </c>
      <c r="W41" s="142"/>
      <c r="X41" s="142">
        <v>80</v>
      </c>
      <c r="Y41" s="142"/>
      <c r="AB41" s="142">
        <v>50</v>
      </c>
      <c r="AC41" s="142"/>
      <c r="AD41" s="142">
        <v>60</v>
      </c>
      <c r="AE41" s="142"/>
      <c r="AF41" s="142">
        <v>70</v>
      </c>
      <c r="AG41" s="142"/>
      <c r="AH41" s="142">
        <v>80</v>
      </c>
      <c r="AI41" s="142"/>
      <c r="AL41" s="142">
        <v>50</v>
      </c>
      <c r="AM41" s="142"/>
      <c r="AN41" s="142">
        <v>60</v>
      </c>
      <c r="AO41" s="142"/>
      <c r="AP41" s="142">
        <v>70</v>
      </c>
      <c r="AQ41" s="142"/>
      <c r="AR41" s="142">
        <v>80</v>
      </c>
      <c r="AS41" s="142"/>
      <c r="AV41" s="142">
        <v>50</v>
      </c>
      <c r="AW41" s="142"/>
      <c r="AX41" s="142">
        <v>60</v>
      </c>
      <c r="AY41" s="142"/>
      <c r="AZ41" s="142">
        <v>70</v>
      </c>
      <c r="BA41" s="142"/>
      <c r="BB41" s="142">
        <v>80</v>
      </c>
      <c r="BC41" s="142"/>
      <c r="BF41" s="142">
        <v>50</v>
      </c>
      <c r="BG41" s="142"/>
      <c r="BH41" s="142">
        <v>60</v>
      </c>
      <c r="BI41" s="142"/>
      <c r="BJ41" s="142">
        <v>70</v>
      </c>
      <c r="BK41" s="142"/>
      <c r="BL41" s="142">
        <v>80</v>
      </c>
      <c r="BM41" s="142"/>
    </row>
    <row r="42" spans="5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5.35</v>
      </c>
      <c r="I42" s="113">
        <f>+VLOOKUP($G$42,$G$16:$O$39,3,FALSE)</f>
        <v>5.8</v>
      </c>
      <c r="J42" s="113">
        <f>+VLOOKUP($G$42,$G$16:$O$39,4,FALSE)</f>
        <v>5.55</v>
      </c>
      <c r="K42" s="113">
        <f>+VLOOKUP($G$42,$G$16:$O$39,5,FALSE)</f>
        <v>6</v>
      </c>
      <c r="L42" s="113">
        <f>+VLOOKUP($G$42,$G$16:$O$39,6,FALSE)</f>
        <v>5.75</v>
      </c>
      <c r="M42" s="113">
        <f>+VLOOKUP($G$42,$G$16:$O$39,7,FALSE)</f>
        <v>6.15</v>
      </c>
      <c r="N42" s="113">
        <f>+VLOOKUP($G$42,$G$16:$O$39,8,FALSE)</f>
        <v>5.9</v>
      </c>
      <c r="O42" s="113">
        <f>+VLOOKUP($G$42,$G$16:$O$39,9,FALSE)</f>
        <v>6.25</v>
      </c>
      <c r="Q42" t="str">
        <f>+DIM!$AK$20&amp;"+"&amp;DIM!$S$14</f>
        <v>251+150</v>
      </c>
      <c r="R42" s="113">
        <f>+VLOOKUP($Q$42,$Q$16:$Y$39,2,FALSE)</f>
        <v>4.75</v>
      </c>
      <c r="S42" s="113">
        <f>+VLOOKUP($Q$42,$Q$16:$Y$39,3,FALSE)</f>
        <v>5</v>
      </c>
      <c r="T42" s="113">
        <f>+VLOOKUP($Q$42,$Q$16:$Y$39,4,FALSE)</f>
        <v>4.6500000000000004</v>
      </c>
      <c r="U42" s="113">
        <f>+VLOOKUP($Q$42,$Q$16:$Y$39,5,FALSE)</f>
        <v>4.9000000000000004</v>
      </c>
      <c r="V42" s="113">
        <f>+VLOOKUP($Q$42,$Q$16:$Y$39,6,FALSE)</f>
        <v>4.55</v>
      </c>
      <c r="W42" s="113">
        <f>+VLOOKUP($Q$42,$Q$16:$Y$39,7,FALSE)</f>
        <v>4.9000000000000004</v>
      </c>
      <c r="X42" s="113">
        <f>+VLOOKUP($Q$42,$Q$16:$Y$39,8,FALSE)</f>
        <v>4.45</v>
      </c>
      <c r="Y42" s="113">
        <f>+VLOOKUP($Q$42,$Q$14:$Y$39,9,FALSE)</f>
        <v>4.6500000000000004</v>
      </c>
      <c r="AA42" t="str">
        <f>+DIM!$AK$20&amp;"+"&amp;DIM!$S$14</f>
        <v>251+150</v>
      </c>
      <c r="AB42" s="113">
        <f>+VLOOKUP($AA$42,$AA$16:$AI$41,2,FALSE)</f>
        <v>6.6</v>
      </c>
      <c r="AC42" s="113">
        <f>+VLOOKUP($AA$42,$AA$16:$AI$41,3,FALSE)</f>
        <v>7.2</v>
      </c>
      <c r="AD42" s="113">
        <f>+VLOOKUP($AA$42,$AA$16:$AI$41,4,FALSE)</f>
        <v>6.8</v>
      </c>
      <c r="AE42" s="113">
        <f>+VLOOKUP($AA$42,$AA$16:$AI$41,5,FALSE)</f>
        <v>7.4</v>
      </c>
      <c r="AF42" s="113">
        <f>+VLOOKUP($AA$42,$AA$16:$AI$41,6,FALSE)</f>
        <v>7</v>
      </c>
      <c r="AG42" s="113">
        <f>+VLOOKUP($AA$42,$AA$16:$AI$41,7,FALSE)</f>
        <v>7.6000000000000005</v>
      </c>
      <c r="AH42" s="113">
        <f>+VLOOKUP($AA$42,$AA$16:$AI$41,8,FALSE)</f>
        <v>7.1</v>
      </c>
      <c r="AI42" s="113">
        <f>+VLOOKUP($AA$42,$AA$16:$AI$41,9,FALSE)</f>
        <v>7.8</v>
      </c>
      <c r="AK42" t="str">
        <f>+DIM!$AK$20&amp;"+"&amp;DIM!$S$14</f>
        <v>251+150</v>
      </c>
      <c r="AL42" s="113">
        <f>+VLOOKUP($AK$42,$AK$16:$AS$41,2,FALSE)</f>
        <v>6.4</v>
      </c>
      <c r="AM42" s="113">
        <f>+VLOOKUP($AK$42,$AK$16:$AS$41,3,FALSE)</f>
        <v>6.76</v>
      </c>
      <c r="AN42" s="113">
        <f>+VLOOKUP($AK$42,$AK$16:$AS$41,4,FALSE)</f>
        <v>6.3000000000000007</v>
      </c>
      <c r="AO42" s="113">
        <f>+VLOOKUP($AK$42,$AK$16:$AS$41,5,FALSE)</f>
        <v>6.65</v>
      </c>
      <c r="AP42" s="113">
        <f>+VLOOKUP($AK$42,$AK$16:$AS$41,6,FALSE)</f>
        <v>6.2</v>
      </c>
      <c r="AQ42" s="113">
        <f>+VLOOKUP($AK$42,$AK$16:$AS$41,7,FALSE)</f>
        <v>6.5</v>
      </c>
      <c r="AR42" s="113">
        <f>+VLOOKUP($AK$42,$AK$16:$AS$41,8,FALSE)</f>
        <v>6.05</v>
      </c>
      <c r="AS42" s="113">
        <f>+VLOOKUP($AK$42,$AK$16:$AS$41,9,FALSE)</f>
        <v>6.3</v>
      </c>
      <c r="AU42" t="str">
        <f>+DIM!$AK$20&amp;"+"&amp;DIM!$S$14</f>
        <v>251+150</v>
      </c>
      <c r="AV42" s="113">
        <f>+VLOOKUP($AU$42,$AU$16:$BC$41,2,FALSE)</f>
        <v>8.0500000000000007</v>
      </c>
      <c r="AW42" s="113">
        <f>+VLOOKUP($AU$42,$AU$16:$BC$41,3,FALSE)</f>
        <v>8.8000000000000007</v>
      </c>
      <c r="AX42" s="113">
        <f>+VLOOKUP($AU$42,$AU$16:$BC$41,4,FALSE)</f>
        <v>8.25</v>
      </c>
      <c r="AY42" s="113">
        <f>+VLOOKUP($AU$42,$AU$16:$BC$41,5,FALSE)</f>
        <v>9</v>
      </c>
      <c r="AZ42" s="113">
        <f>+VLOOKUP($AU$42,$AU$16:$BC$41,6,FALSE)</f>
        <v>8.4</v>
      </c>
      <c r="BA42" s="113">
        <f>+VLOOKUP($AU$42,$AU$16:$BC$41,7,FALSE)</f>
        <v>9</v>
      </c>
      <c r="BB42" s="113">
        <f>+VLOOKUP($AU$42,$AU$16:$BC$41,8,FALSE)</f>
        <v>8.5</v>
      </c>
      <c r="BC42" s="113">
        <f>+VLOOKUP($AU$42,$AU$16:$BC$41,9,FALSE)</f>
        <v>9</v>
      </c>
      <c r="BE42" t="str">
        <f>+DIM!$AK$20&amp;"+"&amp;DIM!$S$14</f>
        <v>251+150</v>
      </c>
      <c r="BF42" s="113">
        <f>+VLOOKUP($BE$42,$BE$16:$BM$41,2,FALSE)</f>
        <v>7.9</v>
      </c>
      <c r="BG42" s="113">
        <f>+VLOOKUP($BE$42,$BE$16:$BM$41,3,FALSE)</f>
        <v>8.0500000000000007</v>
      </c>
      <c r="BH42" s="113">
        <f>+VLOOKUP($BE$42,$BE$16:$BM$41,4,FALSE)</f>
        <v>7.75</v>
      </c>
      <c r="BI42" s="113">
        <f>+VLOOKUP($BE$42,$BE$16:$BM$41,5,FALSE)</f>
        <v>7.75</v>
      </c>
      <c r="BJ42" s="113">
        <f>+VLOOKUP($BE$42,$BE$16:$BM$41,6,FALSE)</f>
        <v>7.5</v>
      </c>
      <c r="BK42" s="113">
        <f>+VLOOKUP($BE$42,$BE$16:$BM$41,7,FALSE)</f>
        <v>7.5</v>
      </c>
      <c r="BL42" s="113">
        <f>+VLOOKUP($BE$42,$BE$16:$BM$41,8,FALSE)</f>
        <v>7.3</v>
      </c>
      <c r="BM42" s="113">
        <f>+VLOOKUP($BE$42,$BE$16:$BM$41,9,FALSE)</f>
        <v>7.3</v>
      </c>
    </row>
    <row r="43" spans="5:65" hidden="1" x14ac:dyDescent="0.2">
      <c r="F43" t="s">
        <v>47</v>
      </c>
      <c r="G43" t="str">
        <f>+DIM!AD15</f>
        <v>AL</v>
      </c>
      <c r="H43" s="141">
        <f>+IF(DIM!$AD$15=$H$15,H42,I42)</f>
        <v>5.35</v>
      </c>
      <c r="I43" s="141"/>
      <c r="J43" s="141">
        <f>+IF(DIM!$AD$15=$H$15,J42,K42)</f>
        <v>5.55</v>
      </c>
      <c r="K43" s="141"/>
      <c r="L43" s="141">
        <f>+IF(DIM!$AD$15=$H$15,L42,M42)</f>
        <v>5.75</v>
      </c>
      <c r="M43" s="141"/>
      <c r="N43" s="141">
        <f>+IF(DIM!$AD$15=$H$15,N42,O42)</f>
        <v>5.9</v>
      </c>
      <c r="O43" s="141"/>
      <c r="Q43" t="str">
        <f>+DIM!AD15</f>
        <v>AL</v>
      </c>
      <c r="R43" s="141">
        <f>+IF(DIM!$AD$15=$H$15,R42,S42)</f>
        <v>4.75</v>
      </c>
      <c r="S43" s="141"/>
      <c r="T43" s="141">
        <f>+IF(DIM!$AD$15=$H$15,T42,U42)</f>
        <v>4.6500000000000004</v>
      </c>
      <c r="U43" s="141"/>
      <c r="V43" s="141">
        <f>+IF(DIM!$AD$15=$H$15,V42,W42)</f>
        <v>4.55</v>
      </c>
      <c r="W43" s="141"/>
      <c r="X43" s="141">
        <f>+IF(DIM!$AD$15=$H$15,X42,Y42)</f>
        <v>4.45</v>
      </c>
      <c r="Y43" s="141"/>
      <c r="AA43" t="str">
        <f>+DIM!AD15</f>
        <v>AL</v>
      </c>
      <c r="AB43" s="141">
        <f>+IF(DIM!$AD$15=$H$15,AB42,AC42)</f>
        <v>6.6</v>
      </c>
      <c r="AC43" s="141"/>
      <c r="AD43" s="141">
        <f>+IF(DIM!$AD$15=$H$15,AD42,AE42)</f>
        <v>6.8</v>
      </c>
      <c r="AE43" s="141"/>
      <c r="AF43" s="141">
        <f>+IF(DIM!$AD$15=$H$15,AF42,AG42)</f>
        <v>7</v>
      </c>
      <c r="AG43" s="141"/>
      <c r="AH43" s="141">
        <f>+IF(DIM!$AD$15=$H$15,AH42,AI42)</f>
        <v>7.1</v>
      </c>
      <c r="AI43" s="141"/>
      <c r="AK43" t="str">
        <f>+DIM!AD15</f>
        <v>AL</v>
      </c>
      <c r="AL43" s="141">
        <f>+IF(DIM!$AD$15=$H$15,AL42,AM42)</f>
        <v>6.4</v>
      </c>
      <c r="AM43" s="141"/>
      <c r="AN43" s="141">
        <f>+IF(DIM!$AD$15=$H$15,AN42,AO42)</f>
        <v>6.3000000000000007</v>
      </c>
      <c r="AO43" s="141"/>
      <c r="AP43" s="141">
        <f>+IF(DIM!$AD$15=$H$15,AP42,AQ42)</f>
        <v>6.2</v>
      </c>
      <c r="AQ43" s="141"/>
      <c r="AR43" s="141">
        <f>+IF(DIM!$AD$15=$H$15,AR42,AS42)</f>
        <v>6.05</v>
      </c>
      <c r="AS43" s="141"/>
      <c r="AU43" t="str">
        <f>+AK43</f>
        <v>AL</v>
      </c>
      <c r="AV43" s="141">
        <f>+IF(DIM!$AD$15=$H$15,AV42,AW42)</f>
        <v>8.0500000000000007</v>
      </c>
      <c r="AW43" s="141"/>
      <c r="AX43" s="141">
        <f>+IF(DIM!$AD$15=$H$15,AX42,AY42)</f>
        <v>8.25</v>
      </c>
      <c r="AY43" s="141"/>
      <c r="AZ43" s="141">
        <f>+IF(DIM!$AD$15=$H$15,AZ42,BA42)</f>
        <v>8.4</v>
      </c>
      <c r="BA43" s="141"/>
      <c r="BB43" s="141">
        <f>+IF(DIM!$AD$15=$H$15,BB42,BC42)</f>
        <v>8.5</v>
      </c>
      <c r="BC43" s="141"/>
      <c r="BE43" t="str">
        <f>+AU43</f>
        <v>AL</v>
      </c>
      <c r="BF43" s="141">
        <f>+IF(DIM!$AD$15=$H$15,BF42,BG42)</f>
        <v>7.9</v>
      </c>
      <c r="BG43" s="141"/>
      <c r="BH43" s="141">
        <f>+IF(DIM!$AD$15=$H$15,BH42,BI42)</f>
        <v>7.75</v>
      </c>
      <c r="BI43" s="141"/>
      <c r="BJ43" s="141">
        <f>+IF(DIM!$AD$15=$H$15,BJ42,BK42)</f>
        <v>7.5</v>
      </c>
      <c r="BK43" s="141"/>
      <c r="BL43" s="141">
        <f>+IF(DIM!$AD$15=$H$15,BL42,BM42)</f>
        <v>7.3</v>
      </c>
      <c r="BM43" s="141"/>
    </row>
    <row r="44" spans="5:65" hidden="1" x14ac:dyDescent="0.2">
      <c r="F44" t="s">
        <v>48</v>
      </c>
      <c r="G44" s="114">
        <f>+DIM!S31</f>
        <v>5</v>
      </c>
      <c r="K44" s="115">
        <f>+HLOOKUP(G44,H14:O43,30,FALSE)</f>
        <v>5.35</v>
      </c>
      <c r="Q44" s="114">
        <f>+DIM!S31</f>
        <v>5</v>
      </c>
      <c r="U44" s="115">
        <f>+HLOOKUP(Q44,R14:Y43,30,FALSE)</f>
        <v>4.75</v>
      </c>
      <c r="AA44" s="114">
        <f>+DIM!S31</f>
        <v>5</v>
      </c>
      <c r="AE44" s="115">
        <f>+HLOOKUP(AA44,AB14:AI43,30,FALSE)</f>
        <v>6.6</v>
      </c>
      <c r="AK44" s="114">
        <f>+AA44</f>
        <v>5</v>
      </c>
      <c r="AO44" s="115">
        <f>+HLOOKUP(AK44,AL14:AS43,30,FALSE)</f>
        <v>6.4</v>
      </c>
      <c r="AU44" s="113">
        <f>+AK44</f>
        <v>5</v>
      </c>
      <c r="AY44" s="115">
        <f>+HLOOKUP(AU44,AV14:BC43,30,FALSE)</f>
        <v>8.0500000000000007</v>
      </c>
      <c r="BE44" s="114">
        <f>+AU44</f>
        <v>5</v>
      </c>
      <c r="BI44" s="115">
        <f>+HLOOKUP(BE44,BF14:BM43,30,FALSE)</f>
        <v>7.9</v>
      </c>
    </row>
    <row r="45" spans="5:65" hidden="1" x14ac:dyDescent="0.2">
      <c r="E45">
        <f>IF(+DIM!Q31="C17","c17",IF(+DIM!Q31="C21","c21",IF(+DIM!Q31="C25","c25",0)))</f>
        <v>0</v>
      </c>
      <c r="F45" t="s">
        <v>65</v>
      </c>
      <c r="G45" t="str">
        <f>+IF(E45=F47,+"plancher SEACISOL C17 + "&amp;G44,IF(E45=F48,+"plancher SEACISOL C21 + "&amp;G44,IF(E45=F49,+"plancher SEACISOL C25 + "&amp;G44,"choisir un seacisol")))</f>
        <v>choisir un seacisol</v>
      </c>
      <c r="K45" s="116" t="str">
        <f>+K10&amp;"+"&amp;G44</f>
        <v>C17+5</v>
      </c>
      <c r="U45" s="116" t="str">
        <f>+U10&amp;"+"&amp;Q44</f>
        <v>C17+5</v>
      </c>
      <c r="AE45" s="116" t="str">
        <f>+AE10&amp;"+"&amp;AA44</f>
        <v>C21+5</v>
      </c>
      <c r="AO45" s="116" t="str">
        <f>+AO10&amp;"+"&amp;AK44</f>
        <v>C21+5</v>
      </c>
      <c r="AY45" s="116" t="str">
        <f>+AY10&amp;"+"&amp;AU44</f>
        <v>C25+5</v>
      </c>
      <c r="BI45" s="116" t="str">
        <f>+BI10&amp;"+"&amp;BE44</f>
        <v>C25+5</v>
      </c>
    </row>
    <row r="46" spans="5:65" hidden="1" x14ac:dyDescent="0.2">
      <c r="F46" t="s">
        <v>66</v>
      </c>
      <c r="G46" t="str">
        <f>+DIM!S19</f>
        <v>avec etai</v>
      </c>
      <c r="K46" s="111">
        <f>+HLOOKUP(G44,H14:O40,27,FALSE)</f>
        <v>174</v>
      </c>
      <c r="U46" s="111">
        <f>+HLOOKUP(Q44,R14:Y40,27,FALSE)</f>
        <v>174</v>
      </c>
      <c r="AE46" s="111">
        <f>+HLOOKUP(AA44,AB14:AI40,27,FALSE)</f>
        <v>192</v>
      </c>
      <c r="AO46" s="111">
        <f>+HLOOKUP(AK44,AL14:AS40,27,FALSE)</f>
        <v>192</v>
      </c>
      <c r="AY46" s="111">
        <f>+HLOOKUP(AU44,AV14:BC40,27,FALSE)</f>
        <v>214</v>
      </c>
      <c r="BI46" s="111">
        <f>+HLOOKUP(BE44,BF14:BM40,27,FALSE)</f>
        <v>214</v>
      </c>
    </row>
    <row r="47" spans="5:65" hidden="1" x14ac:dyDescent="0.2">
      <c r="F47" t="s">
        <v>56</v>
      </c>
      <c r="G47">
        <f>+IF($G$46="avec etai",K44,U44)</f>
        <v>5.35</v>
      </c>
      <c r="H47">
        <f>+IF($G$46="avec etai",K46,U46)</f>
        <v>174</v>
      </c>
      <c r="I47">
        <f>+IF($G$46="avec etai",K47,U47)</f>
        <v>50</v>
      </c>
      <c r="K47" s="111">
        <f>+HLOOKUP(G44,H14:O41,28,FALSE)</f>
        <v>50</v>
      </c>
      <c r="U47" s="111">
        <f>+HLOOKUP(Q44,R14:Y41,28,FALSE)</f>
        <v>50</v>
      </c>
      <c r="AE47" s="111">
        <f>+HLOOKUP(AA44,AB14:AI41,28,FALSE)</f>
        <v>50</v>
      </c>
      <c r="AO47" s="111">
        <f>+HLOOKUP(AK44,AL14:AS41,28,FALSE)</f>
        <v>50</v>
      </c>
      <c r="AY47" s="111">
        <f>+HLOOKUP(AU44,AV14:BC41,28,FALSE)</f>
        <v>50</v>
      </c>
      <c r="BI47" s="111">
        <f>+HLOOKUP(BE44,BF14:BM41,28,FALSE)</f>
        <v>50</v>
      </c>
    </row>
    <row r="48" spans="5:65" hidden="1" x14ac:dyDescent="0.2">
      <c r="F48" t="s">
        <v>57</v>
      </c>
      <c r="G48">
        <f>+IF($G$46="avec etai",AE44,AO44)</f>
        <v>6.6</v>
      </c>
      <c r="H48">
        <f>+IF($G$46="avec etai",AE46,AO46)</f>
        <v>192</v>
      </c>
      <c r="I48">
        <f>+IF($G$46="avec etai",AE47,AO47)</f>
        <v>50</v>
      </c>
    </row>
    <row r="49" spans="5:65" ht="19.5" hidden="1" x14ac:dyDescent="0.35">
      <c r="F49" t="s">
        <v>58</v>
      </c>
      <c r="G49">
        <f>+IF($G$46="avec etai",AY44,BI44)</f>
        <v>8.0500000000000007</v>
      </c>
      <c r="H49">
        <f>+IF($G$46="avec etai",AY46,BI46)</f>
        <v>214</v>
      </c>
      <c r="I49">
        <f>+IF($G$46="avec etaii",AY47,BI47)</f>
        <v>50</v>
      </c>
      <c r="K49" s="110" t="s">
        <v>56</v>
      </c>
      <c r="U49" s="110" t="s">
        <v>56</v>
      </c>
      <c r="AE49" s="110" t="s">
        <v>57</v>
      </c>
      <c r="AO49" s="110" t="s">
        <v>57</v>
      </c>
      <c r="AY49" s="110" t="s">
        <v>58</v>
      </c>
      <c r="BI49" s="110" t="s">
        <v>58</v>
      </c>
    </row>
    <row r="50" spans="5:65" hidden="1" x14ac:dyDescent="0.2">
      <c r="E50" t="s">
        <v>70</v>
      </c>
      <c r="F50" t="s">
        <v>74</v>
      </c>
      <c r="G50" t="str">
        <f>IF(E45=0,"non disponible",+VLOOKUP(DIM!Q31,F47:I49,2,FALSE))</f>
        <v>non disponible</v>
      </c>
      <c r="K50" s="111" t="s">
        <v>78</v>
      </c>
      <c r="U50" s="111" t="s">
        <v>83</v>
      </c>
      <c r="AE50" s="111" t="s">
        <v>84</v>
      </c>
      <c r="AO50" s="111" t="s">
        <v>79</v>
      </c>
      <c r="AY50" s="111" t="s">
        <v>84</v>
      </c>
      <c r="BI50" s="111" t="s">
        <v>79</v>
      </c>
    </row>
    <row r="51" spans="5:65" hidden="1" x14ac:dyDescent="0.2">
      <c r="F51" t="s">
        <v>75</v>
      </c>
      <c r="G51">
        <f>IF(DIM!Q31="C17",+VLOOKUP(DIM!Q31,F47:I49,3,FALSE),IF(DIM!Q31="C21",+VLOOKUP(DIM!Q31,F47:I49,3,FALSE),IF(DIM!Q31="C25",+VLOOKUP(DIM!Q31,F47:I49,3,FALSE),0)))</f>
        <v>0</v>
      </c>
    </row>
    <row r="52" spans="5:65" hidden="1" x14ac:dyDescent="0.2">
      <c r="F52" t="s">
        <v>72</v>
      </c>
      <c r="G52">
        <f>IF(DIM!Q31="C17",+VLOOKUP(DIM!Q31,F47:I49,4,FALSE),IF(DIM!Q31="C21",+VLOOKUP(DIM!Q31,F47:I49,4,FALSE),IF(DIM!Q31="C25",+VLOOKUP(DIM!Q31,F47:I49,4,FALSE),0)))</f>
        <v>0</v>
      </c>
    </row>
    <row r="53" spans="5:65" hidden="1" x14ac:dyDescent="0.2"/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U56" s="110">
        <v>12</v>
      </c>
      <c r="V56" s="110" t="s">
        <v>87</v>
      </c>
      <c r="AE56" s="110">
        <v>15</v>
      </c>
      <c r="AF56" s="110" t="s">
        <v>87</v>
      </c>
      <c r="AO56" s="110">
        <v>15</v>
      </c>
      <c r="AP56" s="110" t="s">
        <v>87</v>
      </c>
      <c r="AY56" s="110">
        <v>20</v>
      </c>
      <c r="AZ56" s="110" t="s">
        <v>87</v>
      </c>
      <c r="BI56" s="110">
        <v>20</v>
      </c>
      <c r="BJ56" s="110" t="s">
        <v>87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79</v>
      </c>
      <c r="AY57" s="111" t="s">
        <v>84</v>
      </c>
      <c r="BI57" s="111" t="s">
        <v>79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 t="s">
        <v>69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>
        <v>5</v>
      </c>
      <c r="I59" s="141"/>
      <c r="J59" s="141">
        <v>6</v>
      </c>
      <c r="K59" s="141"/>
      <c r="L59" s="141">
        <v>7</v>
      </c>
      <c r="M59" s="141"/>
      <c r="N59" s="141">
        <v>8</v>
      </c>
      <c r="O59" s="141"/>
      <c r="R59" s="141">
        <v>5</v>
      </c>
      <c r="S59" s="141"/>
      <c r="T59" s="141">
        <v>6</v>
      </c>
      <c r="U59" s="141"/>
      <c r="V59" s="141">
        <v>7</v>
      </c>
      <c r="W59" s="141"/>
      <c r="X59" s="141">
        <v>8</v>
      </c>
      <c r="Y59" s="141"/>
      <c r="AB59" s="141">
        <v>5</v>
      </c>
      <c r="AC59" s="141"/>
      <c r="AD59" s="141">
        <v>6</v>
      </c>
      <c r="AE59" s="141"/>
      <c r="AF59" s="141">
        <v>7</v>
      </c>
      <c r="AG59" s="141"/>
      <c r="AH59" s="141">
        <v>8</v>
      </c>
      <c r="AI59" s="141"/>
      <c r="AL59" s="141">
        <v>5</v>
      </c>
      <c r="AM59" s="141"/>
      <c r="AN59" s="141">
        <v>6</v>
      </c>
      <c r="AO59" s="141"/>
      <c r="AP59" s="141">
        <v>7</v>
      </c>
      <c r="AQ59" s="141"/>
      <c r="AR59" s="141">
        <v>8</v>
      </c>
      <c r="AS59" s="141"/>
      <c r="AV59" s="141">
        <v>5</v>
      </c>
      <c r="AW59" s="141"/>
      <c r="AX59" s="141">
        <v>6</v>
      </c>
      <c r="AY59" s="141"/>
      <c r="AZ59" s="141">
        <v>7</v>
      </c>
      <c r="BA59" s="141"/>
      <c r="BB59" s="141">
        <v>8</v>
      </c>
      <c r="BC59" s="141"/>
      <c r="BF59" s="141">
        <v>5</v>
      </c>
      <c r="BG59" s="141"/>
      <c r="BH59" s="141">
        <v>6</v>
      </c>
      <c r="BI59" s="141"/>
      <c r="BJ59" s="141">
        <v>7</v>
      </c>
      <c r="BK59" s="141"/>
      <c r="BL59" s="141">
        <v>8</v>
      </c>
      <c r="BM59" s="141"/>
    </row>
    <row r="60" spans="5:65" hidden="1" x14ac:dyDescent="0.2">
      <c r="H60" s="112" t="s">
        <v>24</v>
      </c>
      <c r="I60" s="112" t="s">
        <v>25</v>
      </c>
      <c r="J60" s="112" t="s">
        <v>24</v>
      </c>
      <c r="K60" s="112" t="s">
        <v>25</v>
      </c>
      <c r="L60" s="112" t="s">
        <v>24</v>
      </c>
      <c r="M60" s="112" t="s">
        <v>25</v>
      </c>
      <c r="N60" s="112" t="s">
        <v>24</v>
      </c>
      <c r="O60" s="112" t="s">
        <v>25</v>
      </c>
      <c r="R60" s="112" t="s">
        <v>24</v>
      </c>
      <c r="S60" s="112" t="s">
        <v>25</v>
      </c>
      <c r="T60" s="112" t="s">
        <v>24</v>
      </c>
      <c r="U60" s="112" t="s">
        <v>25</v>
      </c>
      <c r="V60" s="112" t="s">
        <v>24</v>
      </c>
      <c r="W60" s="112" t="s">
        <v>25</v>
      </c>
      <c r="X60" s="112" t="s">
        <v>24</v>
      </c>
      <c r="Y60" s="112" t="s">
        <v>25</v>
      </c>
      <c r="AB60" s="112" t="s">
        <v>24</v>
      </c>
      <c r="AC60" s="112" t="s">
        <v>25</v>
      </c>
      <c r="AD60" s="112" t="s">
        <v>24</v>
      </c>
      <c r="AE60" s="112" t="s">
        <v>25</v>
      </c>
      <c r="AF60" s="112" t="s">
        <v>24</v>
      </c>
      <c r="AG60" s="112" t="s">
        <v>25</v>
      </c>
      <c r="AH60" s="112" t="s">
        <v>24</v>
      </c>
      <c r="AI60" s="112" t="s">
        <v>25</v>
      </c>
      <c r="AL60" s="112" t="s">
        <v>24</v>
      </c>
      <c r="AM60" s="112" t="s">
        <v>25</v>
      </c>
      <c r="AN60" s="112" t="s">
        <v>24</v>
      </c>
      <c r="AO60" s="112" t="s">
        <v>25</v>
      </c>
      <c r="AP60" s="112" t="s">
        <v>24</v>
      </c>
      <c r="AQ60" s="112" t="s">
        <v>25</v>
      </c>
      <c r="AR60" s="112" t="s">
        <v>24</v>
      </c>
      <c r="AS60" s="112" t="s">
        <v>25</v>
      </c>
      <c r="AV60" s="112" t="s">
        <v>24</v>
      </c>
      <c r="AW60" s="112" t="s">
        <v>25</v>
      </c>
      <c r="AX60" s="112" t="s">
        <v>24</v>
      </c>
      <c r="AY60" s="112" t="s">
        <v>25</v>
      </c>
      <c r="AZ60" s="112" t="s">
        <v>24</v>
      </c>
      <c r="BA60" s="112" t="s">
        <v>25</v>
      </c>
      <c r="BB60" s="112" t="s">
        <v>24</v>
      </c>
      <c r="BC60" s="112" t="s">
        <v>25</v>
      </c>
      <c r="BF60" s="112" t="s">
        <v>24</v>
      </c>
      <c r="BG60" s="112" t="s">
        <v>25</v>
      </c>
      <c r="BH60" s="112" t="s">
        <v>24</v>
      </c>
      <c r="BI60" s="112" t="s">
        <v>25</v>
      </c>
      <c r="BJ60" s="112" t="s">
        <v>24</v>
      </c>
      <c r="BK60" s="112" t="s">
        <v>25</v>
      </c>
      <c r="BL60" s="112" t="s">
        <v>24</v>
      </c>
      <c r="BM60" s="112" t="s">
        <v>25</v>
      </c>
    </row>
    <row r="61" spans="5:65" hidden="1" x14ac:dyDescent="0.2">
      <c r="G61" t="s">
        <v>34</v>
      </c>
      <c r="Q61" t="s">
        <v>34</v>
      </c>
      <c r="R61">
        <v>6.65</v>
      </c>
      <c r="S61">
        <v>6.8</v>
      </c>
      <c r="T61">
        <v>7.15</v>
      </c>
      <c r="U61">
        <v>7.75</v>
      </c>
      <c r="V61">
        <v>7.35</v>
      </c>
      <c r="W61">
        <v>7.15</v>
      </c>
      <c r="X61">
        <v>7.5</v>
      </c>
      <c r="Y61">
        <v>7.7</v>
      </c>
      <c r="AA61" t="s">
        <v>34</v>
      </c>
      <c r="AB61">
        <v>7.5</v>
      </c>
      <c r="AC61">
        <v>8.1</v>
      </c>
      <c r="AD61">
        <v>8</v>
      </c>
      <c r="AE61">
        <v>8.65</v>
      </c>
      <c r="AF61">
        <v>8.1</v>
      </c>
      <c r="AG61">
        <v>8.8000000000000007</v>
      </c>
      <c r="AH61">
        <v>8.3000000000000007</v>
      </c>
      <c r="AI61">
        <v>9</v>
      </c>
      <c r="AK61" t="s">
        <v>34</v>
      </c>
      <c r="AL61">
        <v>6.6</v>
      </c>
      <c r="AM61">
        <v>6.6</v>
      </c>
      <c r="AN61">
        <v>7.6</v>
      </c>
      <c r="AO61">
        <v>7.85</v>
      </c>
      <c r="AP61">
        <v>7.65</v>
      </c>
      <c r="AQ61">
        <v>7.65</v>
      </c>
      <c r="AR61">
        <v>7.45</v>
      </c>
      <c r="AS61">
        <v>7.45</v>
      </c>
      <c r="AU61" t="s">
        <v>34</v>
      </c>
      <c r="AV61">
        <v>8.8000000000000007</v>
      </c>
      <c r="AW61">
        <v>9</v>
      </c>
      <c r="AX61">
        <v>9</v>
      </c>
      <c r="AY61">
        <v>9</v>
      </c>
      <c r="AZ61">
        <v>9</v>
      </c>
      <c r="BA61">
        <v>9</v>
      </c>
      <c r="BB61">
        <v>9</v>
      </c>
      <c r="BC61">
        <v>9</v>
      </c>
      <c r="BE61" t="s">
        <v>34</v>
      </c>
      <c r="BF61">
        <v>7.45</v>
      </c>
      <c r="BG61">
        <v>7.45</v>
      </c>
      <c r="BH61">
        <v>7.25</v>
      </c>
      <c r="BI61">
        <v>7.25</v>
      </c>
      <c r="BJ61">
        <v>7.1</v>
      </c>
      <c r="BK61">
        <v>7.1</v>
      </c>
      <c r="BL61">
        <v>6.9</v>
      </c>
      <c r="BM61">
        <v>6.9</v>
      </c>
    </row>
    <row r="62" spans="5:65" hidden="1" x14ac:dyDescent="0.2">
      <c r="G62" t="s">
        <v>35</v>
      </c>
      <c r="Q62" t="s">
        <v>35</v>
      </c>
      <c r="R62">
        <v>6.3</v>
      </c>
      <c r="S62">
        <v>6.8</v>
      </c>
      <c r="T62">
        <v>6.75</v>
      </c>
      <c r="U62">
        <v>7.4</v>
      </c>
      <c r="V62">
        <v>6.95</v>
      </c>
      <c r="W62">
        <v>7.7</v>
      </c>
      <c r="X62">
        <v>7.15</v>
      </c>
      <c r="Y62">
        <v>7.7</v>
      </c>
      <c r="AA62" t="s">
        <v>35</v>
      </c>
      <c r="AB62">
        <v>7.1</v>
      </c>
      <c r="AC62">
        <v>7.75</v>
      </c>
      <c r="AD62">
        <v>7.6</v>
      </c>
      <c r="AE62">
        <v>8.3000000000000007</v>
      </c>
      <c r="AF62">
        <v>7.7</v>
      </c>
      <c r="AG62">
        <v>8.4499999999999993</v>
      </c>
      <c r="AH62">
        <v>7.9</v>
      </c>
      <c r="AI62">
        <v>8.65</v>
      </c>
      <c r="AK62" t="s">
        <v>35</v>
      </c>
      <c r="AL62">
        <v>6.6</v>
      </c>
      <c r="AM62">
        <v>6.6</v>
      </c>
      <c r="AN62">
        <v>7.4</v>
      </c>
      <c r="AO62">
        <v>7.8</v>
      </c>
      <c r="AP62">
        <v>7.45</v>
      </c>
      <c r="AQ62">
        <v>7.65</v>
      </c>
      <c r="AR62">
        <v>7.35</v>
      </c>
      <c r="AS62">
        <v>7.45</v>
      </c>
      <c r="AU62" t="s">
        <v>35</v>
      </c>
      <c r="AV62">
        <v>8.4</v>
      </c>
      <c r="AW62">
        <v>9.1999999999999993</v>
      </c>
      <c r="AX62">
        <v>8.6</v>
      </c>
      <c r="AY62">
        <v>99</v>
      </c>
      <c r="AZ62">
        <v>8.8000000000000007</v>
      </c>
      <c r="BA62">
        <v>9</v>
      </c>
      <c r="BB62">
        <v>9</v>
      </c>
      <c r="BC62">
        <v>9</v>
      </c>
      <c r="BE62" t="s">
        <v>35</v>
      </c>
      <c r="BF62">
        <v>7.45</v>
      </c>
      <c r="BG62">
        <v>7.45</v>
      </c>
      <c r="BH62">
        <v>7.25</v>
      </c>
      <c r="BI62">
        <v>7.25</v>
      </c>
      <c r="BJ62">
        <v>7.1</v>
      </c>
      <c r="BK62">
        <v>7.1</v>
      </c>
      <c r="BL62">
        <v>6.9</v>
      </c>
      <c r="BM62">
        <v>6.9</v>
      </c>
    </row>
    <row r="63" spans="5:65" hidden="1" x14ac:dyDescent="0.2">
      <c r="G63" t="s">
        <v>36</v>
      </c>
      <c r="Q63" t="s">
        <v>36</v>
      </c>
      <c r="R63">
        <v>6</v>
      </c>
      <c r="S63">
        <v>6.55</v>
      </c>
      <c r="T63">
        <v>6.45</v>
      </c>
      <c r="U63">
        <v>7.05</v>
      </c>
      <c r="V63">
        <v>6.65</v>
      </c>
      <c r="W63">
        <v>7.25</v>
      </c>
      <c r="X63">
        <v>6.85</v>
      </c>
      <c r="Y63">
        <v>7.45</v>
      </c>
      <c r="AA63" t="s">
        <v>36</v>
      </c>
      <c r="AB63">
        <v>6.8</v>
      </c>
      <c r="AC63">
        <v>7.45</v>
      </c>
      <c r="AD63">
        <v>7.25</v>
      </c>
      <c r="AE63">
        <v>7.95</v>
      </c>
      <c r="AF63">
        <v>7.4</v>
      </c>
      <c r="AG63">
        <v>8.1</v>
      </c>
      <c r="AH63">
        <v>7.6</v>
      </c>
      <c r="AI63">
        <v>8.3000000000000007</v>
      </c>
      <c r="AK63" t="s">
        <v>36</v>
      </c>
      <c r="AL63">
        <v>6.6</v>
      </c>
      <c r="AM63">
        <v>6.6</v>
      </c>
      <c r="AN63">
        <v>7.2</v>
      </c>
      <c r="AO63">
        <v>7.55</v>
      </c>
      <c r="AP63">
        <v>7.25</v>
      </c>
      <c r="AQ63">
        <v>7.65</v>
      </c>
      <c r="AR63">
        <v>7.15</v>
      </c>
      <c r="AS63">
        <v>7.45</v>
      </c>
      <c r="AU63" t="s">
        <v>36</v>
      </c>
      <c r="AV63">
        <v>8.0500000000000007</v>
      </c>
      <c r="AW63">
        <v>8.85</v>
      </c>
      <c r="AX63">
        <v>8.25</v>
      </c>
      <c r="AY63">
        <v>9</v>
      </c>
      <c r="AZ63">
        <v>8.4499999999999993</v>
      </c>
      <c r="BA63">
        <v>9</v>
      </c>
      <c r="BB63">
        <v>8.65</v>
      </c>
      <c r="BC63">
        <v>9</v>
      </c>
      <c r="BE63" t="s">
        <v>36</v>
      </c>
      <c r="BF63">
        <v>7.3</v>
      </c>
      <c r="BG63">
        <v>7.45</v>
      </c>
      <c r="BH63">
        <v>7.15</v>
      </c>
      <c r="BI63">
        <v>7.25</v>
      </c>
      <c r="BJ63">
        <v>7</v>
      </c>
      <c r="BK63">
        <v>7.1</v>
      </c>
      <c r="BL63">
        <v>6.9</v>
      </c>
      <c r="BM63">
        <v>6.9</v>
      </c>
    </row>
    <row r="64" spans="5:65" hidden="1" x14ac:dyDescent="0.2">
      <c r="G64" t="s">
        <v>37</v>
      </c>
      <c r="Q64" t="s">
        <v>37</v>
      </c>
      <c r="R64">
        <v>5.7</v>
      </c>
      <c r="S64">
        <v>6.3</v>
      </c>
      <c r="T64">
        <v>6.2</v>
      </c>
      <c r="U64">
        <v>6.8</v>
      </c>
      <c r="V64">
        <v>6.4</v>
      </c>
      <c r="W64">
        <v>7</v>
      </c>
      <c r="X64">
        <v>6.6</v>
      </c>
      <c r="Y64">
        <v>7.25</v>
      </c>
      <c r="AA64" t="s">
        <v>37</v>
      </c>
      <c r="AB64">
        <v>6.55</v>
      </c>
      <c r="AC64">
        <v>7.2</v>
      </c>
      <c r="AD64">
        <v>7</v>
      </c>
      <c r="AE64">
        <v>7.7</v>
      </c>
      <c r="AF64">
        <v>7.1</v>
      </c>
      <c r="AG64">
        <v>7.85</v>
      </c>
      <c r="AH64">
        <v>7.3</v>
      </c>
      <c r="AI64">
        <v>8.0500000000000007</v>
      </c>
      <c r="AK64" t="s">
        <v>37</v>
      </c>
      <c r="AL64">
        <v>6.6</v>
      </c>
      <c r="AM64">
        <v>6.6</v>
      </c>
      <c r="AN64">
        <v>7</v>
      </c>
      <c r="AO64">
        <v>7.35</v>
      </c>
      <c r="AP64">
        <v>7.05</v>
      </c>
      <c r="AQ64">
        <v>7.45</v>
      </c>
      <c r="AR64">
        <v>7</v>
      </c>
      <c r="AS64">
        <v>7.35</v>
      </c>
      <c r="AU64" t="s">
        <v>37</v>
      </c>
      <c r="AV64">
        <v>7.8</v>
      </c>
      <c r="AW64">
        <v>8.5500000000000007</v>
      </c>
      <c r="AX64">
        <v>8</v>
      </c>
      <c r="AY64">
        <v>8.8000000000000007</v>
      </c>
      <c r="AZ64">
        <v>8.1999999999999993</v>
      </c>
      <c r="BA64">
        <v>9</v>
      </c>
      <c r="BB64">
        <v>8.4</v>
      </c>
      <c r="BC64">
        <v>9</v>
      </c>
      <c r="BE64" t="s">
        <v>37</v>
      </c>
      <c r="BF64">
        <v>7.15</v>
      </c>
      <c r="BG64">
        <v>7.45</v>
      </c>
      <c r="BH64">
        <v>7</v>
      </c>
      <c r="BI64">
        <v>7.25</v>
      </c>
      <c r="BJ64">
        <v>6.9</v>
      </c>
      <c r="BK64">
        <v>7.1</v>
      </c>
      <c r="BL64">
        <v>6.8</v>
      </c>
      <c r="BM64">
        <v>6.9</v>
      </c>
    </row>
    <row r="65" spans="7:65" hidden="1" x14ac:dyDescent="0.2">
      <c r="G65" t="s">
        <v>80</v>
      </c>
      <c r="Q65" t="s">
        <v>80</v>
      </c>
      <c r="R65">
        <v>5.5</v>
      </c>
      <c r="S65">
        <v>6.05</v>
      </c>
      <c r="T65">
        <v>6</v>
      </c>
      <c r="U65">
        <v>6.6</v>
      </c>
      <c r="V65">
        <v>6.2</v>
      </c>
      <c r="W65">
        <v>6.8</v>
      </c>
      <c r="X65">
        <v>6.35</v>
      </c>
      <c r="Y65">
        <v>7</v>
      </c>
      <c r="AA65" t="s">
        <v>80</v>
      </c>
      <c r="AB65">
        <v>6.3</v>
      </c>
      <c r="AC65">
        <v>6.95</v>
      </c>
      <c r="AD65">
        <v>6.75</v>
      </c>
      <c r="AE65">
        <v>7.45</v>
      </c>
      <c r="AF65">
        <v>6.9</v>
      </c>
      <c r="AG65">
        <v>7.6</v>
      </c>
      <c r="AH65">
        <v>7.1</v>
      </c>
      <c r="AI65">
        <v>7.8</v>
      </c>
      <c r="AK65" t="s">
        <v>80</v>
      </c>
      <c r="AL65">
        <v>6.15</v>
      </c>
      <c r="AM65">
        <v>6.45</v>
      </c>
      <c r="AN65">
        <v>6.75</v>
      </c>
      <c r="AO65">
        <v>7.15</v>
      </c>
      <c r="AP65">
        <v>6.85</v>
      </c>
      <c r="AQ65">
        <v>7.25</v>
      </c>
      <c r="AR65">
        <v>6.8</v>
      </c>
      <c r="AS65">
        <v>7.15</v>
      </c>
      <c r="AU65" t="s">
        <v>80</v>
      </c>
      <c r="AV65">
        <v>7.55</v>
      </c>
      <c r="AW65">
        <v>8.3000000000000007</v>
      </c>
      <c r="AX65">
        <v>7.7</v>
      </c>
      <c r="AY65">
        <v>8.5</v>
      </c>
      <c r="AZ65">
        <v>7.9</v>
      </c>
      <c r="BA65">
        <v>8.6999999999999993</v>
      </c>
      <c r="BB65">
        <v>8.1</v>
      </c>
      <c r="BC65">
        <v>8.9</v>
      </c>
      <c r="BE65" t="s">
        <v>80</v>
      </c>
      <c r="BF65">
        <v>6.95</v>
      </c>
      <c r="BG65">
        <v>7.35</v>
      </c>
      <c r="BH65">
        <v>6.85</v>
      </c>
      <c r="BI65">
        <v>7.25</v>
      </c>
      <c r="BJ65">
        <v>6.75</v>
      </c>
      <c r="BK65">
        <v>7.1</v>
      </c>
      <c r="BL65">
        <v>6.65</v>
      </c>
      <c r="BM65">
        <v>6.9</v>
      </c>
    </row>
    <row r="66" spans="7:65" hidden="1" x14ac:dyDescent="0.2">
      <c r="G66" t="s">
        <v>38</v>
      </c>
      <c r="Q66" t="s">
        <v>38</v>
      </c>
      <c r="R66">
        <v>5.15</v>
      </c>
      <c r="S66">
        <v>5.7</v>
      </c>
      <c r="T66">
        <v>5.6</v>
      </c>
      <c r="U66">
        <v>6.2</v>
      </c>
      <c r="V66">
        <v>5.8</v>
      </c>
      <c r="W66">
        <v>6.4</v>
      </c>
      <c r="X66">
        <v>6</v>
      </c>
      <c r="Y66">
        <v>6.65</v>
      </c>
      <c r="AA66" t="s">
        <v>38</v>
      </c>
      <c r="AB66">
        <v>5.95</v>
      </c>
      <c r="AC66">
        <v>6.55</v>
      </c>
      <c r="AD66">
        <v>6.35</v>
      </c>
      <c r="AE66">
        <v>7</v>
      </c>
      <c r="AF66">
        <v>6.5</v>
      </c>
      <c r="AG66">
        <v>7.2</v>
      </c>
      <c r="AH66">
        <v>6.65</v>
      </c>
      <c r="AI66">
        <v>7.4</v>
      </c>
      <c r="AK66" t="s">
        <v>38</v>
      </c>
      <c r="AL66">
        <v>5.85</v>
      </c>
      <c r="AM66">
        <v>6.15</v>
      </c>
      <c r="AN66">
        <v>6.35</v>
      </c>
      <c r="AO66">
        <v>6.8</v>
      </c>
      <c r="AP66">
        <v>6.5</v>
      </c>
      <c r="AQ66">
        <v>6.9</v>
      </c>
      <c r="AR66">
        <v>6.5</v>
      </c>
      <c r="AS66">
        <v>6.85</v>
      </c>
      <c r="AU66" t="s">
        <v>38</v>
      </c>
      <c r="AV66">
        <v>7.1</v>
      </c>
      <c r="AW66">
        <v>7.85</v>
      </c>
      <c r="AX66">
        <v>7.3</v>
      </c>
      <c r="AY66">
        <v>8.1</v>
      </c>
      <c r="AZ66">
        <v>7.5</v>
      </c>
      <c r="BA66">
        <v>8.3000000000000007</v>
      </c>
      <c r="BB66">
        <v>7.7</v>
      </c>
      <c r="BC66">
        <v>8.5</v>
      </c>
      <c r="BE66" t="s">
        <v>38</v>
      </c>
      <c r="BF66">
        <v>6.7</v>
      </c>
      <c r="BG66">
        <v>7.05</v>
      </c>
      <c r="BH66">
        <v>6.6</v>
      </c>
      <c r="BI66">
        <v>7</v>
      </c>
      <c r="BJ66">
        <v>6.5</v>
      </c>
      <c r="BK66">
        <v>6.9</v>
      </c>
      <c r="BL66">
        <v>6.45</v>
      </c>
      <c r="BM66">
        <v>6.8</v>
      </c>
    </row>
    <row r="67" spans="7:65" hidden="1" x14ac:dyDescent="0.2">
      <c r="G67" t="s">
        <v>39</v>
      </c>
      <c r="Q67" t="s">
        <v>39</v>
      </c>
      <c r="R67">
        <v>4.8499999999999996</v>
      </c>
      <c r="S67">
        <v>5.2</v>
      </c>
      <c r="T67">
        <v>5.3</v>
      </c>
      <c r="U67">
        <v>5.9</v>
      </c>
      <c r="V67">
        <v>5.5</v>
      </c>
      <c r="W67">
        <v>6.1</v>
      </c>
      <c r="X67">
        <v>5.7</v>
      </c>
      <c r="Y67">
        <v>6.3</v>
      </c>
      <c r="AA67" t="s">
        <v>39</v>
      </c>
      <c r="AB67">
        <v>5.65</v>
      </c>
      <c r="AC67">
        <v>6.25</v>
      </c>
      <c r="AD67">
        <v>6</v>
      </c>
      <c r="AE67">
        <v>6.65</v>
      </c>
      <c r="AF67">
        <v>6.15</v>
      </c>
      <c r="AG67">
        <v>6.85</v>
      </c>
      <c r="AH67">
        <v>6.35</v>
      </c>
      <c r="AI67">
        <v>7.05</v>
      </c>
      <c r="AK67" t="s">
        <v>39</v>
      </c>
      <c r="AL67">
        <v>5.55</v>
      </c>
      <c r="AM67">
        <v>5.92</v>
      </c>
      <c r="AN67">
        <v>6</v>
      </c>
      <c r="AO67">
        <v>6.45</v>
      </c>
      <c r="AP67">
        <v>6.15</v>
      </c>
      <c r="AQ67">
        <v>6.55</v>
      </c>
      <c r="AR67">
        <v>6.2</v>
      </c>
      <c r="AS67">
        <v>6.55</v>
      </c>
      <c r="AU67" t="s">
        <v>39</v>
      </c>
      <c r="AV67">
        <v>6.75</v>
      </c>
      <c r="AW67">
        <v>7.5</v>
      </c>
      <c r="AX67">
        <v>6.95</v>
      </c>
      <c r="AY67">
        <v>7.7</v>
      </c>
      <c r="AZ67">
        <v>7.05</v>
      </c>
      <c r="BA67">
        <v>7.9</v>
      </c>
      <c r="BB67">
        <v>7.25</v>
      </c>
      <c r="BC67">
        <v>8.1</v>
      </c>
      <c r="BE67" t="s">
        <v>39</v>
      </c>
      <c r="BF67">
        <v>6.4</v>
      </c>
      <c r="BG67">
        <v>6.75</v>
      </c>
      <c r="BH67">
        <v>6.35</v>
      </c>
      <c r="BI67">
        <v>6.7</v>
      </c>
      <c r="BJ67">
        <v>6.3</v>
      </c>
      <c r="BK67">
        <v>6.65</v>
      </c>
      <c r="BL67">
        <v>6.25</v>
      </c>
      <c r="BM67">
        <v>6.6</v>
      </c>
    </row>
    <row r="68" spans="7:65" hidden="1" x14ac:dyDescent="0.2">
      <c r="G68" t="s">
        <v>40</v>
      </c>
      <c r="Q68" t="s">
        <v>40</v>
      </c>
      <c r="R68">
        <v>6.2</v>
      </c>
      <c r="S68">
        <v>6.55</v>
      </c>
      <c r="T68">
        <v>6.7</v>
      </c>
      <c r="U68">
        <v>7.1</v>
      </c>
      <c r="V68">
        <v>6.9</v>
      </c>
      <c r="W68">
        <v>7.3</v>
      </c>
      <c r="X68">
        <v>7.05</v>
      </c>
      <c r="Y68">
        <v>7.45</v>
      </c>
      <c r="AA68" t="s">
        <v>40</v>
      </c>
      <c r="AB68">
        <v>7</v>
      </c>
      <c r="AC68">
        <v>7.45</v>
      </c>
      <c r="AD68">
        <v>7.5</v>
      </c>
      <c r="AE68">
        <v>8</v>
      </c>
      <c r="AF68">
        <v>7.6</v>
      </c>
      <c r="AG68">
        <v>8.15</v>
      </c>
      <c r="AH68">
        <v>7.8</v>
      </c>
      <c r="AI68">
        <v>8.35</v>
      </c>
      <c r="AK68" t="s">
        <v>40</v>
      </c>
      <c r="AL68">
        <v>6.4</v>
      </c>
      <c r="AM68">
        <v>6.6</v>
      </c>
      <c r="AN68">
        <v>7.2</v>
      </c>
      <c r="AO68">
        <v>7.55</v>
      </c>
      <c r="AP68">
        <v>7.25</v>
      </c>
      <c r="AQ68">
        <v>7.65</v>
      </c>
      <c r="AR68">
        <v>7.2</v>
      </c>
      <c r="AS68">
        <v>7.45</v>
      </c>
      <c r="AU68" t="s">
        <v>40</v>
      </c>
      <c r="AV68">
        <v>8.3000000000000007</v>
      </c>
      <c r="AW68">
        <v>8.9</v>
      </c>
      <c r="AX68">
        <v>8.5</v>
      </c>
      <c r="AY68">
        <v>9</v>
      </c>
      <c r="AZ68">
        <v>8.6999999999999993</v>
      </c>
      <c r="BA68">
        <v>9</v>
      </c>
      <c r="BB68">
        <v>8.9</v>
      </c>
      <c r="BC68">
        <v>9</v>
      </c>
      <c r="BE68" t="s">
        <v>40</v>
      </c>
      <c r="BF68">
        <v>7.4</v>
      </c>
      <c r="BG68">
        <v>7.45</v>
      </c>
      <c r="BH68">
        <v>7.25</v>
      </c>
      <c r="BI68">
        <v>7.25</v>
      </c>
      <c r="BJ68">
        <v>7.1</v>
      </c>
      <c r="BK68">
        <v>7.1</v>
      </c>
      <c r="BL68">
        <v>6.9</v>
      </c>
      <c r="BM68">
        <v>6.9</v>
      </c>
    </row>
    <row r="69" spans="7:65" hidden="1" x14ac:dyDescent="0.2">
      <c r="G69" t="s">
        <v>41</v>
      </c>
      <c r="Q69" t="s">
        <v>41</v>
      </c>
      <c r="R69">
        <v>5.9</v>
      </c>
      <c r="S69">
        <v>6.3</v>
      </c>
      <c r="T69">
        <v>6.4</v>
      </c>
      <c r="U69">
        <v>6.8</v>
      </c>
      <c r="V69">
        <v>6.6</v>
      </c>
      <c r="W69">
        <v>7</v>
      </c>
      <c r="X69">
        <v>6.8</v>
      </c>
      <c r="Y69">
        <v>7.2</v>
      </c>
      <c r="AA69" t="s">
        <v>41</v>
      </c>
      <c r="AB69">
        <v>6.75</v>
      </c>
      <c r="AC69">
        <v>7.2</v>
      </c>
      <c r="AD69">
        <v>7.2</v>
      </c>
      <c r="AE69">
        <v>7.7</v>
      </c>
      <c r="AF69">
        <v>7.3</v>
      </c>
      <c r="AG69">
        <v>7.85</v>
      </c>
      <c r="AH69">
        <v>7.5</v>
      </c>
      <c r="AI69">
        <v>8.0500000000000007</v>
      </c>
      <c r="AK69" t="s">
        <v>41</v>
      </c>
      <c r="AL69">
        <v>6.25</v>
      </c>
      <c r="AM69">
        <v>6.6</v>
      </c>
      <c r="AN69">
        <v>7</v>
      </c>
      <c r="AO69">
        <v>7.35</v>
      </c>
      <c r="AP69">
        <v>7.05</v>
      </c>
      <c r="AQ69">
        <v>7.45</v>
      </c>
      <c r="AR69">
        <v>7.05</v>
      </c>
      <c r="AS69">
        <v>7.4</v>
      </c>
      <c r="AU69" t="s">
        <v>41</v>
      </c>
      <c r="AV69">
        <v>8</v>
      </c>
      <c r="AW69">
        <v>8.6</v>
      </c>
      <c r="AX69">
        <v>8.15</v>
      </c>
      <c r="AY69">
        <v>8.8000000000000007</v>
      </c>
      <c r="AZ69">
        <v>8.35</v>
      </c>
      <c r="BA69">
        <v>9</v>
      </c>
      <c r="BB69">
        <v>8.5500000000000007</v>
      </c>
      <c r="BC69">
        <v>9</v>
      </c>
      <c r="BE69" t="s">
        <v>41</v>
      </c>
      <c r="BF69">
        <v>7.2</v>
      </c>
      <c r="BG69">
        <v>7.45</v>
      </c>
      <c r="BH69">
        <v>7.1</v>
      </c>
      <c r="BI69">
        <v>7.25</v>
      </c>
      <c r="BJ69">
        <v>7.05</v>
      </c>
      <c r="BK69">
        <v>7.1</v>
      </c>
      <c r="BL69">
        <v>6.9</v>
      </c>
      <c r="BM69">
        <v>6.9</v>
      </c>
    </row>
    <row r="70" spans="7:65" hidden="1" x14ac:dyDescent="0.2">
      <c r="G70" t="s">
        <v>42</v>
      </c>
      <c r="Q70" t="s">
        <v>42</v>
      </c>
      <c r="R70">
        <v>5.65</v>
      </c>
      <c r="S70">
        <v>6.05</v>
      </c>
      <c r="T70">
        <v>6.15</v>
      </c>
      <c r="U70">
        <v>6.6</v>
      </c>
      <c r="V70">
        <v>6.35</v>
      </c>
      <c r="W70">
        <v>6.8</v>
      </c>
      <c r="X70">
        <v>6.45</v>
      </c>
      <c r="Y70">
        <v>7</v>
      </c>
      <c r="AA70" t="s">
        <v>42</v>
      </c>
      <c r="AB70">
        <v>6.5</v>
      </c>
      <c r="AC70">
        <v>6.95</v>
      </c>
      <c r="AD70">
        <v>6.9</v>
      </c>
      <c r="AE70">
        <v>7.45</v>
      </c>
      <c r="AF70">
        <v>7.05</v>
      </c>
      <c r="AG70">
        <v>7.6</v>
      </c>
      <c r="AH70">
        <v>7.25</v>
      </c>
      <c r="AI70">
        <v>7.8</v>
      </c>
      <c r="AK70" t="s">
        <v>42</v>
      </c>
      <c r="AL70">
        <v>6.15</v>
      </c>
      <c r="AM70">
        <v>6.75</v>
      </c>
      <c r="AN70">
        <v>6.8</v>
      </c>
      <c r="AO70">
        <v>7.2</v>
      </c>
      <c r="AP70">
        <v>6.9</v>
      </c>
      <c r="AQ70">
        <v>7.3</v>
      </c>
      <c r="AR70">
        <v>6.85</v>
      </c>
      <c r="AS70">
        <v>7.25</v>
      </c>
      <c r="AU70" t="s">
        <v>42</v>
      </c>
      <c r="AV70">
        <v>7.7</v>
      </c>
      <c r="AW70">
        <v>8.3000000000000007</v>
      </c>
      <c r="AX70">
        <v>7.9</v>
      </c>
      <c r="AY70">
        <v>8.5</v>
      </c>
      <c r="AZ70">
        <v>8.1</v>
      </c>
      <c r="BA70">
        <v>8.6999999999999993</v>
      </c>
      <c r="BB70">
        <v>8.3000000000000007</v>
      </c>
      <c r="BC70">
        <v>8.9</v>
      </c>
      <c r="BE70" t="s">
        <v>42</v>
      </c>
      <c r="BF70">
        <v>7.05</v>
      </c>
      <c r="BG70">
        <v>7.45</v>
      </c>
      <c r="BH70">
        <v>7</v>
      </c>
      <c r="BI70">
        <v>7.25</v>
      </c>
      <c r="BJ70">
        <v>6.9</v>
      </c>
      <c r="BK70">
        <v>7.1</v>
      </c>
      <c r="BL70">
        <v>6.8</v>
      </c>
      <c r="BM70">
        <v>6.9</v>
      </c>
    </row>
    <row r="71" spans="7:65" hidden="1" x14ac:dyDescent="0.2">
      <c r="G71" t="s">
        <v>43</v>
      </c>
      <c r="Q71" t="s">
        <v>43</v>
      </c>
      <c r="R71">
        <v>5.45</v>
      </c>
      <c r="S71">
        <v>5.85</v>
      </c>
      <c r="T71">
        <v>5.9</v>
      </c>
      <c r="U71">
        <v>6.4</v>
      </c>
      <c r="V71">
        <v>6.1</v>
      </c>
      <c r="W71">
        <v>6.6</v>
      </c>
      <c r="X71">
        <v>6.3</v>
      </c>
      <c r="Y71">
        <v>6.8</v>
      </c>
      <c r="AA71" t="s">
        <v>43</v>
      </c>
      <c r="AB71">
        <v>6.25</v>
      </c>
      <c r="AC71">
        <v>6.75</v>
      </c>
      <c r="AD71">
        <v>6.7</v>
      </c>
      <c r="AE71">
        <v>7.2</v>
      </c>
      <c r="AF71">
        <v>6.8</v>
      </c>
      <c r="AG71">
        <v>7.4</v>
      </c>
      <c r="AH71">
        <v>7</v>
      </c>
      <c r="AI71">
        <v>7.6</v>
      </c>
      <c r="AK71" t="s">
        <v>43</v>
      </c>
      <c r="AL71">
        <v>6</v>
      </c>
      <c r="AM71">
        <v>6.3</v>
      </c>
      <c r="AN71">
        <v>6.65</v>
      </c>
      <c r="AO71">
        <v>7</v>
      </c>
      <c r="AP71">
        <v>6.75</v>
      </c>
      <c r="AQ71">
        <v>7.1</v>
      </c>
      <c r="AR71">
        <v>6.7</v>
      </c>
      <c r="AS71">
        <v>7.1</v>
      </c>
      <c r="AU71" t="s">
        <v>43</v>
      </c>
      <c r="AV71">
        <v>7.45</v>
      </c>
      <c r="AW71">
        <v>8.1</v>
      </c>
      <c r="AX71">
        <v>7.65</v>
      </c>
      <c r="AY71">
        <v>8.3000000000000007</v>
      </c>
      <c r="AZ71">
        <v>7.85</v>
      </c>
      <c r="BA71">
        <v>8.5</v>
      </c>
      <c r="BB71">
        <v>8.0500000000000007</v>
      </c>
      <c r="BC71">
        <v>8.6999999999999993</v>
      </c>
      <c r="BE71" t="s">
        <v>43</v>
      </c>
      <c r="BF71">
        <v>6.95</v>
      </c>
      <c r="BG71">
        <v>7.3</v>
      </c>
      <c r="BH71">
        <v>6.9</v>
      </c>
      <c r="BI71">
        <v>7.25</v>
      </c>
      <c r="BJ71">
        <v>6.8</v>
      </c>
      <c r="BK71">
        <v>7.1</v>
      </c>
      <c r="BL71">
        <v>6.7</v>
      </c>
      <c r="BM71">
        <v>6.9</v>
      </c>
    </row>
    <row r="72" spans="7:65" hidden="1" x14ac:dyDescent="0.2">
      <c r="G72" t="s">
        <v>81</v>
      </c>
      <c r="Q72" t="s">
        <v>81</v>
      </c>
      <c r="R72">
        <v>5.25</v>
      </c>
      <c r="S72">
        <v>5.7</v>
      </c>
      <c r="T72">
        <v>5.7</v>
      </c>
      <c r="U72">
        <v>6.2</v>
      </c>
      <c r="V72">
        <v>5.95</v>
      </c>
      <c r="W72">
        <v>6.45</v>
      </c>
      <c r="X72">
        <v>6.15</v>
      </c>
      <c r="Y72">
        <v>6.65</v>
      </c>
      <c r="AA72" t="s">
        <v>81</v>
      </c>
      <c r="AB72">
        <v>6.05</v>
      </c>
      <c r="AC72">
        <v>6.55</v>
      </c>
      <c r="AD72">
        <v>6.5</v>
      </c>
      <c r="AE72">
        <v>7</v>
      </c>
      <c r="AF72">
        <v>6.6</v>
      </c>
      <c r="AG72">
        <v>7.2</v>
      </c>
      <c r="AH72">
        <v>6.8</v>
      </c>
      <c r="AI72">
        <v>7.4</v>
      </c>
      <c r="AK72" t="s">
        <v>81</v>
      </c>
      <c r="AL72">
        <v>5.85</v>
      </c>
      <c r="AM72">
        <v>6.15</v>
      </c>
      <c r="AN72">
        <v>6.45</v>
      </c>
      <c r="AO72">
        <v>6.85</v>
      </c>
      <c r="AP72">
        <v>6.6</v>
      </c>
      <c r="AQ72">
        <v>6.95</v>
      </c>
      <c r="AR72">
        <v>6.6</v>
      </c>
      <c r="AS72">
        <v>6.95</v>
      </c>
      <c r="AU72" t="s">
        <v>81</v>
      </c>
      <c r="AV72">
        <v>7.25</v>
      </c>
      <c r="AW72">
        <v>7.85</v>
      </c>
      <c r="AX72">
        <v>7.45</v>
      </c>
      <c r="AY72">
        <v>8.1</v>
      </c>
      <c r="AZ72">
        <v>7.65</v>
      </c>
      <c r="BA72">
        <v>8.3000000000000007</v>
      </c>
      <c r="BB72">
        <v>7.85</v>
      </c>
      <c r="BC72">
        <v>8.5</v>
      </c>
      <c r="BE72" t="s">
        <v>81</v>
      </c>
      <c r="BF72">
        <v>6.8</v>
      </c>
      <c r="BG72">
        <v>7.15</v>
      </c>
      <c r="BH72">
        <v>6.75</v>
      </c>
      <c r="BI72">
        <v>7.1</v>
      </c>
      <c r="BJ72">
        <v>6.7</v>
      </c>
      <c r="BK72">
        <v>7.1</v>
      </c>
      <c r="BL72">
        <v>6.6</v>
      </c>
      <c r="BM72">
        <v>6.9</v>
      </c>
    </row>
    <row r="73" spans="7:65" hidden="1" x14ac:dyDescent="0.2">
      <c r="G73" t="s">
        <v>44</v>
      </c>
      <c r="Q73" t="s">
        <v>44</v>
      </c>
      <c r="R73">
        <v>4.95</v>
      </c>
      <c r="S73">
        <v>5.15</v>
      </c>
      <c r="T73">
        <v>5.4</v>
      </c>
      <c r="U73">
        <v>5.85</v>
      </c>
      <c r="V73">
        <v>5.6</v>
      </c>
      <c r="W73">
        <v>6.05</v>
      </c>
      <c r="X73">
        <v>5.8</v>
      </c>
      <c r="Y73">
        <v>6.15</v>
      </c>
      <c r="AA73" t="s">
        <v>44</v>
      </c>
      <c r="AB73">
        <v>5.75</v>
      </c>
      <c r="AC73">
        <v>6.25</v>
      </c>
      <c r="AD73">
        <v>6.1</v>
      </c>
      <c r="AE73">
        <v>6.65</v>
      </c>
      <c r="AF73">
        <v>6.25</v>
      </c>
      <c r="AG73">
        <v>6.85</v>
      </c>
      <c r="AH73">
        <v>6.45</v>
      </c>
      <c r="AI73">
        <v>7.05</v>
      </c>
      <c r="AK73" t="s">
        <v>44</v>
      </c>
      <c r="AL73">
        <v>5.65</v>
      </c>
      <c r="AM73">
        <v>5.95</v>
      </c>
      <c r="AN73">
        <v>6.1</v>
      </c>
      <c r="AO73">
        <v>6.55</v>
      </c>
      <c r="AP73">
        <v>6.25</v>
      </c>
      <c r="AQ73">
        <v>6.65</v>
      </c>
      <c r="AR73">
        <v>6.3</v>
      </c>
      <c r="AS73">
        <v>6.65</v>
      </c>
      <c r="AU73" t="s">
        <v>44</v>
      </c>
      <c r="AV73">
        <v>6.9</v>
      </c>
      <c r="AW73">
        <v>7.5</v>
      </c>
      <c r="AX73">
        <v>7.05</v>
      </c>
      <c r="AY73">
        <v>7.7</v>
      </c>
      <c r="AZ73">
        <v>7.25</v>
      </c>
      <c r="BA73">
        <v>7.9</v>
      </c>
      <c r="BB73">
        <v>7.45</v>
      </c>
      <c r="BC73">
        <v>8.1</v>
      </c>
      <c r="BE73" t="s">
        <v>44</v>
      </c>
      <c r="BF73">
        <v>6.55</v>
      </c>
      <c r="BG73">
        <v>6.9</v>
      </c>
      <c r="BH73">
        <v>6.55</v>
      </c>
      <c r="BI73">
        <v>6.9</v>
      </c>
      <c r="BJ73">
        <v>6.45</v>
      </c>
      <c r="BK73">
        <v>6.8</v>
      </c>
      <c r="BL73">
        <v>6.4</v>
      </c>
      <c r="BM73">
        <v>6.75</v>
      </c>
    </row>
    <row r="74" spans="7:65" hidden="1" x14ac:dyDescent="0.2">
      <c r="G74" t="s">
        <v>67</v>
      </c>
      <c r="Q74" t="s">
        <v>67</v>
      </c>
      <c r="R74">
        <v>4.5999999999999996</v>
      </c>
      <c r="S74">
        <v>4.5999999999999996</v>
      </c>
      <c r="T74">
        <v>5.15</v>
      </c>
      <c r="U74">
        <v>5.6</v>
      </c>
      <c r="V74">
        <v>5.35</v>
      </c>
      <c r="W74">
        <v>5.8</v>
      </c>
      <c r="X74">
        <v>5.55</v>
      </c>
      <c r="Y74">
        <v>6</v>
      </c>
      <c r="AA74" t="s">
        <v>67</v>
      </c>
      <c r="AB74">
        <v>5.45</v>
      </c>
      <c r="AC74">
        <v>5.95</v>
      </c>
      <c r="AD74">
        <v>5.85</v>
      </c>
      <c r="AE74">
        <v>6.4</v>
      </c>
      <c r="AF74">
        <v>6</v>
      </c>
      <c r="AG74">
        <v>6.55</v>
      </c>
      <c r="AH74">
        <v>6.15</v>
      </c>
      <c r="AI74">
        <v>6.75</v>
      </c>
      <c r="AK74" t="s">
        <v>67</v>
      </c>
      <c r="AL74">
        <v>5.4</v>
      </c>
      <c r="AM74">
        <v>5.75</v>
      </c>
      <c r="AN74">
        <v>5.85</v>
      </c>
      <c r="AO74">
        <v>6.3</v>
      </c>
      <c r="AP74">
        <v>6</v>
      </c>
      <c r="AQ74">
        <v>6.4</v>
      </c>
      <c r="AR74">
        <v>6.1</v>
      </c>
      <c r="AS74">
        <v>6.4</v>
      </c>
      <c r="AU74" t="s">
        <v>67</v>
      </c>
      <c r="AV74">
        <v>6.55</v>
      </c>
      <c r="AW74">
        <v>7.2</v>
      </c>
      <c r="AX74">
        <v>6.75</v>
      </c>
      <c r="AY74">
        <v>7.4</v>
      </c>
      <c r="AZ74">
        <v>6.95</v>
      </c>
      <c r="BA74">
        <v>7.6</v>
      </c>
      <c r="BB74">
        <v>7.15</v>
      </c>
      <c r="BC74">
        <v>7.8</v>
      </c>
      <c r="BE74" t="s">
        <v>67</v>
      </c>
      <c r="BF74">
        <v>6.35</v>
      </c>
      <c r="BG74">
        <v>6.7</v>
      </c>
      <c r="BH74">
        <v>6.3</v>
      </c>
      <c r="BI74">
        <v>6.65</v>
      </c>
      <c r="BJ74">
        <v>6.25</v>
      </c>
      <c r="BK74">
        <v>6.6</v>
      </c>
      <c r="BL74">
        <v>6.2</v>
      </c>
      <c r="BM74">
        <v>6.55</v>
      </c>
    </row>
    <row r="75" spans="7:65" hidden="1" x14ac:dyDescent="0.2">
      <c r="G75" t="s">
        <v>50</v>
      </c>
      <c r="Q75" t="s">
        <v>50</v>
      </c>
      <c r="R75">
        <v>5.65</v>
      </c>
      <c r="S75">
        <v>5.9</v>
      </c>
      <c r="T75">
        <v>6.15</v>
      </c>
      <c r="U75">
        <v>6.4</v>
      </c>
      <c r="V75">
        <v>5.35</v>
      </c>
      <c r="W75">
        <v>6.6</v>
      </c>
      <c r="X75">
        <v>5.55</v>
      </c>
      <c r="Y75">
        <v>6.8</v>
      </c>
      <c r="AA75" t="s">
        <v>50</v>
      </c>
      <c r="AB75">
        <v>6.5</v>
      </c>
      <c r="AC75">
        <v>6.8</v>
      </c>
      <c r="AD75">
        <v>6.9</v>
      </c>
      <c r="AE75">
        <v>7.25</v>
      </c>
      <c r="AF75">
        <v>7.05</v>
      </c>
      <c r="AG75">
        <v>7.4</v>
      </c>
      <c r="AH75">
        <v>7.25</v>
      </c>
      <c r="AI75">
        <v>7.6</v>
      </c>
      <c r="AK75" t="s">
        <v>50</v>
      </c>
      <c r="AL75">
        <v>6</v>
      </c>
      <c r="AM75">
        <v>6.3</v>
      </c>
      <c r="AN75">
        <v>6.65</v>
      </c>
      <c r="AO75">
        <v>7</v>
      </c>
      <c r="AP75">
        <v>6.75</v>
      </c>
      <c r="AQ75">
        <v>7.1</v>
      </c>
      <c r="AR75">
        <v>6.7</v>
      </c>
      <c r="AS75">
        <v>7.1</v>
      </c>
      <c r="AU75" t="s">
        <v>50</v>
      </c>
      <c r="AV75">
        <v>7.7</v>
      </c>
      <c r="AW75">
        <v>8.1</v>
      </c>
      <c r="AX75">
        <v>7.9</v>
      </c>
      <c r="AY75">
        <v>8.3000000000000007</v>
      </c>
      <c r="AZ75">
        <v>8.1</v>
      </c>
      <c r="BA75">
        <v>8.5</v>
      </c>
      <c r="BB75">
        <v>8.3000000000000007</v>
      </c>
      <c r="BC75">
        <v>8.6999999999999993</v>
      </c>
      <c r="BE75" t="s">
        <v>50</v>
      </c>
      <c r="BF75">
        <v>6.95</v>
      </c>
      <c r="BG75">
        <v>7.3</v>
      </c>
      <c r="BH75">
        <v>6.9</v>
      </c>
      <c r="BI75">
        <v>7.25</v>
      </c>
      <c r="BJ75">
        <v>6.8</v>
      </c>
      <c r="BK75">
        <v>7.1</v>
      </c>
      <c r="BL75">
        <v>6.7</v>
      </c>
      <c r="BM75">
        <v>6.9</v>
      </c>
    </row>
    <row r="76" spans="7:65" hidden="1" x14ac:dyDescent="0.2">
      <c r="G76" t="s">
        <v>76</v>
      </c>
      <c r="Q76" t="s">
        <v>76</v>
      </c>
      <c r="R76">
        <v>5.45</v>
      </c>
      <c r="S76">
        <v>5.65</v>
      </c>
      <c r="T76">
        <v>5.9</v>
      </c>
      <c r="U76">
        <v>6.2</v>
      </c>
      <c r="V76">
        <v>6.1</v>
      </c>
      <c r="W76">
        <v>6.4</v>
      </c>
      <c r="X76">
        <v>6.3</v>
      </c>
      <c r="Y76">
        <v>6.6</v>
      </c>
      <c r="AA76" t="s">
        <v>76</v>
      </c>
      <c r="AB76">
        <v>6.25</v>
      </c>
      <c r="AC76">
        <v>6.6</v>
      </c>
      <c r="AD76">
        <v>6.7</v>
      </c>
      <c r="AE76">
        <v>7</v>
      </c>
      <c r="AF76">
        <v>6.85</v>
      </c>
      <c r="AG76">
        <v>7.2</v>
      </c>
      <c r="AH76">
        <v>7</v>
      </c>
      <c r="AI76">
        <v>7.4</v>
      </c>
      <c r="AK76" t="s">
        <v>76</v>
      </c>
      <c r="AL76">
        <v>5.85</v>
      </c>
      <c r="AM76">
        <v>6.14</v>
      </c>
      <c r="AN76">
        <v>6.5</v>
      </c>
      <c r="AO76">
        <v>6.85</v>
      </c>
      <c r="AP76">
        <v>6.6</v>
      </c>
      <c r="AQ76">
        <v>6.95</v>
      </c>
      <c r="AR76">
        <v>6.6</v>
      </c>
      <c r="AS76">
        <v>6.95</v>
      </c>
      <c r="AU76" t="s">
        <v>76</v>
      </c>
      <c r="AV76">
        <v>7.5</v>
      </c>
      <c r="AW76">
        <v>7.9</v>
      </c>
      <c r="AX76">
        <v>7.65</v>
      </c>
      <c r="AY76">
        <v>8.1</v>
      </c>
      <c r="AZ76">
        <v>7.85</v>
      </c>
      <c r="BA76">
        <v>8.3000000000000007</v>
      </c>
      <c r="BB76">
        <v>8.0500000000000007</v>
      </c>
      <c r="BC76">
        <v>8.5</v>
      </c>
      <c r="BE76" t="s">
        <v>76</v>
      </c>
      <c r="BF76">
        <v>6.8</v>
      </c>
      <c r="BG76">
        <v>7.15</v>
      </c>
      <c r="BH76">
        <v>6.75</v>
      </c>
      <c r="BI76">
        <v>7.1</v>
      </c>
      <c r="BJ76">
        <v>6.7</v>
      </c>
      <c r="BK76">
        <v>7.1</v>
      </c>
      <c r="BL76">
        <v>6.6</v>
      </c>
      <c r="BM76">
        <v>6.9</v>
      </c>
    </row>
    <row r="77" spans="7:65" hidden="1" x14ac:dyDescent="0.2">
      <c r="G77" t="s">
        <v>77</v>
      </c>
      <c r="Q77" t="s">
        <v>77</v>
      </c>
      <c r="R77">
        <v>5.3</v>
      </c>
      <c r="S77">
        <v>5.35</v>
      </c>
      <c r="T77">
        <v>5.75</v>
      </c>
      <c r="U77">
        <v>6.05</v>
      </c>
      <c r="V77">
        <v>5.95</v>
      </c>
      <c r="W77">
        <v>6.25</v>
      </c>
      <c r="X77">
        <v>6.15</v>
      </c>
      <c r="Y77">
        <v>6.35</v>
      </c>
      <c r="AA77" t="s">
        <v>77</v>
      </c>
      <c r="AB77">
        <v>6.05</v>
      </c>
      <c r="AC77">
        <v>6.4</v>
      </c>
      <c r="AD77">
        <v>6.5</v>
      </c>
      <c r="AE77">
        <v>6.85</v>
      </c>
      <c r="AF77">
        <v>6.65</v>
      </c>
      <c r="AG77">
        <v>7</v>
      </c>
      <c r="AH77">
        <v>6.8</v>
      </c>
      <c r="AI77">
        <v>7.25</v>
      </c>
      <c r="AK77" t="s">
        <v>77</v>
      </c>
      <c r="AL77">
        <v>5.75</v>
      </c>
      <c r="AM77">
        <v>6.05</v>
      </c>
      <c r="AN77">
        <v>6.35</v>
      </c>
      <c r="AO77">
        <v>6.7</v>
      </c>
      <c r="AP77">
        <v>6.45</v>
      </c>
      <c r="AQ77">
        <v>6.8</v>
      </c>
      <c r="AR77">
        <v>6.45</v>
      </c>
      <c r="AS77">
        <v>6.8</v>
      </c>
      <c r="AU77" t="s">
        <v>77</v>
      </c>
      <c r="AV77">
        <v>7.25</v>
      </c>
      <c r="AW77">
        <v>7.7</v>
      </c>
      <c r="AX77">
        <v>7.45</v>
      </c>
      <c r="AY77">
        <v>7.9</v>
      </c>
      <c r="AZ77">
        <v>7.65</v>
      </c>
      <c r="BA77">
        <v>8.1</v>
      </c>
      <c r="BB77">
        <v>7.85</v>
      </c>
      <c r="BC77">
        <v>8.3000000000000007</v>
      </c>
      <c r="BE77" t="s">
        <v>77</v>
      </c>
      <c r="BF77">
        <v>6.7</v>
      </c>
      <c r="BG77">
        <v>7.05</v>
      </c>
      <c r="BH77">
        <v>6.65</v>
      </c>
      <c r="BI77">
        <v>7</v>
      </c>
      <c r="BJ77">
        <v>6.6</v>
      </c>
      <c r="BK77">
        <v>6.95</v>
      </c>
      <c r="BL77">
        <v>6.55</v>
      </c>
      <c r="BM77">
        <v>6.9</v>
      </c>
    </row>
    <row r="78" spans="7:65" hidden="1" x14ac:dyDescent="0.2">
      <c r="G78" t="s">
        <v>46</v>
      </c>
      <c r="Q78" t="s">
        <v>46</v>
      </c>
      <c r="R78">
        <v>5</v>
      </c>
      <c r="S78">
        <v>5</v>
      </c>
      <c r="T78">
        <v>5.55</v>
      </c>
      <c r="U78">
        <v>5.9</v>
      </c>
      <c r="V78">
        <v>5.75</v>
      </c>
      <c r="W78">
        <v>6.1</v>
      </c>
      <c r="X78">
        <v>5.95</v>
      </c>
      <c r="Y78">
        <v>6.3</v>
      </c>
      <c r="AA78" t="s">
        <v>46</v>
      </c>
      <c r="AB78">
        <v>5.9</v>
      </c>
      <c r="AC78">
        <v>6.25</v>
      </c>
      <c r="AD78">
        <v>6.3</v>
      </c>
      <c r="AE78">
        <v>6.65</v>
      </c>
      <c r="AF78">
        <v>6.45</v>
      </c>
      <c r="AG78">
        <v>6.85</v>
      </c>
      <c r="AH78">
        <v>6.65</v>
      </c>
      <c r="AI78">
        <v>7.05</v>
      </c>
      <c r="AK78" t="s">
        <v>46</v>
      </c>
      <c r="AL78">
        <v>5.65</v>
      </c>
      <c r="AM78">
        <v>5.95</v>
      </c>
      <c r="AN78">
        <v>6.2</v>
      </c>
      <c r="AO78">
        <v>6.55</v>
      </c>
      <c r="AP78">
        <v>6.3</v>
      </c>
      <c r="AQ78">
        <v>6.65</v>
      </c>
      <c r="AR78">
        <v>6.3</v>
      </c>
      <c r="AS78">
        <v>6.65</v>
      </c>
      <c r="AU78" t="s">
        <v>46</v>
      </c>
      <c r="AV78">
        <v>7.05</v>
      </c>
      <c r="AW78">
        <v>7.5</v>
      </c>
      <c r="AX78">
        <v>7.25</v>
      </c>
      <c r="AY78">
        <v>7.7</v>
      </c>
      <c r="AZ78">
        <v>7.45</v>
      </c>
      <c r="BA78">
        <v>7.9</v>
      </c>
      <c r="BB78">
        <v>7.65</v>
      </c>
      <c r="BC78">
        <v>8.1</v>
      </c>
      <c r="BE78" t="s">
        <v>46</v>
      </c>
      <c r="BF78">
        <v>6.55</v>
      </c>
      <c r="BG78">
        <v>6.9</v>
      </c>
      <c r="BH78">
        <v>6.55</v>
      </c>
      <c r="BI78">
        <v>6.9</v>
      </c>
      <c r="BJ78">
        <v>6.5</v>
      </c>
      <c r="BK78">
        <v>6.85</v>
      </c>
      <c r="BL78">
        <v>6.45</v>
      </c>
      <c r="BM78">
        <v>6</v>
      </c>
    </row>
    <row r="79" spans="7:65" hidden="1" x14ac:dyDescent="0.2">
      <c r="G79" t="s">
        <v>82</v>
      </c>
      <c r="Q79" t="s">
        <v>82</v>
      </c>
      <c r="R79">
        <v>4.75</v>
      </c>
      <c r="S79">
        <v>4.75</v>
      </c>
      <c r="T79">
        <v>5.4</v>
      </c>
      <c r="U79">
        <v>5.75</v>
      </c>
      <c r="V79">
        <v>5.6</v>
      </c>
      <c r="W79">
        <v>5.95</v>
      </c>
      <c r="X79">
        <v>5.8</v>
      </c>
      <c r="Y79">
        <v>6.15</v>
      </c>
      <c r="AA79" t="s">
        <v>82</v>
      </c>
      <c r="AB79">
        <v>5.75</v>
      </c>
      <c r="AC79">
        <v>6.1</v>
      </c>
      <c r="AD79">
        <v>6.1</v>
      </c>
      <c r="AE79">
        <v>6.5</v>
      </c>
      <c r="AF79">
        <v>6.3</v>
      </c>
      <c r="AG79">
        <v>6.7</v>
      </c>
      <c r="AH79">
        <v>6.45</v>
      </c>
      <c r="AI79">
        <v>6.9</v>
      </c>
      <c r="AK79" t="s">
        <v>82</v>
      </c>
      <c r="AL79">
        <v>5.55</v>
      </c>
      <c r="AM79">
        <v>5.84</v>
      </c>
      <c r="AN79">
        <v>6.1</v>
      </c>
      <c r="AO79">
        <v>6.4</v>
      </c>
      <c r="AP79">
        <v>6.2</v>
      </c>
      <c r="AQ79">
        <v>6.5</v>
      </c>
      <c r="AR79">
        <v>6.2</v>
      </c>
      <c r="AS79">
        <v>6.55</v>
      </c>
      <c r="AU79" t="s">
        <v>82</v>
      </c>
      <c r="AV79">
        <v>6.9</v>
      </c>
      <c r="AW79">
        <v>7.35</v>
      </c>
      <c r="AX79">
        <v>7.1</v>
      </c>
      <c r="AY79">
        <v>7.55</v>
      </c>
      <c r="AZ79">
        <v>7.1</v>
      </c>
      <c r="BA79">
        <v>7.75</v>
      </c>
      <c r="BB79">
        <v>7.3</v>
      </c>
      <c r="BC79">
        <v>7.95</v>
      </c>
      <c r="BE79" t="s">
        <v>82</v>
      </c>
      <c r="BF79">
        <v>6.45</v>
      </c>
      <c r="BG79">
        <v>6.8</v>
      </c>
      <c r="BH79">
        <v>6.4</v>
      </c>
      <c r="BI79">
        <v>6.8</v>
      </c>
      <c r="BJ79">
        <v>6.4</v>
      </c>
      <c r="BK79">
        <v>6.75</v>
      </c>
      <c r="BL79">
        <v>6.35</v>
      </c>
      <c r="BM79">
        <v>6.7</v>
      </c>
    </row>
    <row r="80" spans="7:65" hidden="1" x14ac:dyDescent="0.2">
      <c r="G80" t="s">
        <v>45</v>
      </c>
      <c r="Q80" t="s">
        <v>45</v>
      </c>
      <c r="R80">
        <v>4.3</v>
      </c>
      <c r="S80">
        <v>4.3</v>
      </c>
      <c r="T80">
        <v>5.15</v>
      </c>
      <c r="U80">
        <v>5.5</v>
      </c>
      <c r="V80">
        <v>5.35</v>
      </c>
      <c r="W80">
        <v>5.7</v>
      </c>
      <c r="X80">
        <v>5.55</v>
      </c>
      <c r="Y80">
        <v>5.9</v>
      </c>
      <c r="AA80" t="s">
        <v>45</v>
      </c>
      <c r="AB80">
        <v>5.45</v>
      </c>
      <c r="AC80">
        <v>5.85</v>
      </c>
      <c r="AD80">
        <v>5.85</v>
      </c>
      <c r="AE80">
        <v>6.25</v>
      </c>
      <c r="AF80">
        <v>6</v>
      </c>
      <c r="AG80">
        <v>6.4</v>
      </c>
      <c r="AH80">
        <v>6.15</v>
      </c>
      <c r="AI80">
        <v>6.6</v>
      </c>
      <c r="AK80" t="s">
        <v>45</v>
      </c>
      <c r="AL80">
        <v>5.35</v>
      </c>
      <c r="AM80">
        <v>5.35</v>
      </c>
      <c r="AN80">
        <v>5.85</v>
      </c>
      <c r="AO80">
        <v>6.15</v>
      </c>
      <c r="AP80">
        <v>5.95</v>
      </c>
      <c r="AQ80">
        <v>6.3</v>
      </c>
      <c r="AR80">
        <v>6</v>
      </c>
      <c r="AS80">
        <v>6.3</v>
      </c>
      <c r="AU80" t="s">
        <v>45</v>
      </c>
      <c r="AV80">
        <v>6.6</v>
      </c>
      <c r="AW80">
        <v>7.05</v>
      </c>
      <c r="AX80">
        <v>6.75</v>
      </c>
      <c r="AY80">
        <v>7.25</v>
      </c>
      <c r="AZ80">
        <v>6.95</v>
      </c>
      <c r="BA80">
        <v>7.45</v>
      </c>
      <c r="BB80">
        <v>7.15</v>
      </c>
      <c r="BC80">
        <v>7.65</v>
      </c>
      <c r="BE80" t="s">
        <v>45</v>
      </c>
      <c r="BF80">
        <v>6.25</v>
      </c>
      <c r="BG80">
        <v>6.6</v>
      </c>
      <c r="BH80">
        <v>6.25</v>
      </c>
      <c r="BI80">
        <v>6.6</v>
      </c>
      <c r="BJ80">
        <v>6.2</v>
      </c>
      <c r="BK80">
        <v>6.55</v>
      </c>
      <c r="BL80">
        <v>6.2</v>
      </c>
      <c r="BM80">
        <v>6.5</v>
      </c>
    </row>
    <row r="81" spans="5:65" hidden="1" x14ac:dyDescent="0.2">
      <c r="G81" t="s">
        <v>68</v>
      </c>
      <c r="Q81" t="s">
        <v>68</v>
      </c>
      <c r="R81">
        <v>3.95</v>
      </c>
      <c r="S81">
        <v>3.95</v>
      </c>
      <c r="T81">
        <v>4.9000000000000004</v>
      </c>
      <c r="U81">
        <v>5.3</v>
      </c>
      <c r="V81">
        <v>5.0999999999999996</v>
      </c>
      <c r="W81">
        <v>5.5</v>
      </c>
      <c r="X81">
        <v>5.3</v>
      </c>
      <c r="Y81">
        <v>5.7</v>
      </c>
      <c r="AA81" t="s">
        <v>68</v>
      </c>
      <c r="AB81">
        <v>5.6</v>
      </c>
      <c r="AC81">
        <v>5.6</v>
      </c>
      <c r="AD81">
        <v>5.6</v>
      </c>
      <c r="AE81">
        <v>6</v>
      </c>
      <c r="AF81">
        <v>5.75</v>
      </c>
      <c r="AG81">
        <v>6.2</v>
      </c>
      <c r="AH81">
        <v>5.95</v>
      </c>
      <c r="AI81">
        <v>6.4</v>
      </c>
      <c r="AK81" t="s">
        <v>68</v>
      </c>
      <c r="AL81">
        <v>4.9000000000000004</v>
      </c>
      <c r="AM81">
        <v>4.9000000000000004</v>
      </c>
      <c r="AN81">
        <v>5.6</v>
      </c>
      <c r="AO81">
        <v>5.95</v>
      </c>
      <c r="AP81">
        <v>5.75</v>
      </c>
      <c r="AQ81">
        <v>6.05</v>
      </c>
      <c r="AR81">
        <v>5.8</v>
      </c>
      <c r="AS81">
        <v>6.1</v>
      </c>
      <c r="AU81" t="s">
        <v>68</v>
      </c>
      <c r="AV81">
        <v>6.3</v>
      </c>
      <c r="AW81">
        <v>6.8</v>
      </c>
      <c r="AX81">
        <v>6.5</v>
      </c>
      <c r="AY81">
        <v>7</v>
      </c>
      <c r="AZ81">
        <v>6.7</v>
      </c>
      <c r="BA81">
        <v>7.2</v>
      </c>
      <c r="BB81">
        <v>6.9</v>
      </c>
      <c r="BC81">
        <v>7.4</v>
      </c>
      <c r="BE81" t="s">
        <v>68</v>
      </c>
      <c r="BF81">
        <v>6.05</v>
      </c>
      <c r="BG81">
        <v>6.4</v>
      </c>
      <c r="BH81">
        <v>6.05</v>
      </c>
      <c r="BI81">
        <v>6.4</v>
      </c>
      <c r="BJ81">
        <v>6.1</v>
      </c>
      <c r="BK81">
        <v>6.4</v>
      </c>
      <c r="BL81">
        <v>6.05</v>
      </c>
      <c r="BM81">
        <v>6.35</v>
      </c>
    </row>
    <row r="82" spans="5:65" hidden="1" x14ac:dyDescent="0.2">
      <c r="G82" t="s">
        <v>71</v>
      </c>
      <c r="H82" s="142"/>
      <c r="I82" s="142"/>
      <c r="J82" s="142"/>
      <c r="K82" s="142"/>
      <c r="L82" s="142"/>
      <c r="M82" s="142"/>
      <c r="N82" s="142"/>
      <c r="O82" s="142"/>
      <c r="R82" s="142">
        <v>179</v>
      </c>
      <c r="S82" s="142"/>
      <c r="T82" s="142">
        <v>244</v>
      </c>
      <c r="U82" s="142"/>
      <c r="V82" s="142">
        <v>267</v>
      </c>
      <c r="W82" s="142"/>
      <c r="X82" s="142">
        <v>290</v>
      </c>
      <c r="Y82" s="142"/>
      <c r="AB82" s="142">
        <v>253</v>
      </c>
      <c r="AC82" s="142"/>
      <c r="AD82" s="142">
        <v>273</v>
      </c>
      <c r="AE82" s="142"/>
      <c r="AF82" s="142">
        <v>296</v>
      </c>
      <c r="AG82" s="142"/>
      <c r="AH82" s="142">
        <v>319</v>
      </c>
      <c r="AI82" s="142"/>
      <c r="AL82" s="142">
        <v>232</v>
      </c>
      <c r="AM82" s="142"/>
      <c r="AN82" s="142">
        <v>273</v>
      </c>
      <c r="AO82" s="142"/>
      <c r="AP82" s="142">
        <v>296</v>
      </c>
      <c r="AQ82" s="142"/>
      <c r="AR82" s="142">
        <v>319</v>
      </c>
      <c r="AS82" s="142"/>
      <c r="AV82" s="142">
        <v>322</v>
      </c>
      <c r="AW82" s="142"/>
      <c r="AX82" s="142">
        <v>345</v>
      </c>
      <c r="AY82" s="142"/>
      <c r="AZ82" s="142">
        <v>368</v>
      </c>
      <c r="BA82" s="142"/>
      <c r="BB82" s="142">
        <v>391</v>
      </c>
      <c r="BC82" s="142"/>
      <c r="BF82" s="142">
        <v>322</v>
      </c>
      <c r="BG82" s="142"/>
      <c r="BH82" s="142">
        <v>345</v>
      </c>
      <c r="BI82" s="142"/>
      <c r="BJ82" s="142">
        <v>368</v>
      </c>
      <c r="BK82" s="142"/>
      <c r="BL82" s="142">
        <v>391</v>
      </c>
      <c r="BM82" s="142"/>
    </row>
    <row r="83" spans="5:65" hidden="1" x14ac:dyDescent="0.2">
      <c r="G83" t="s">
        <v>72</v>
      </c>
      <c r="H83" s="142"/>
      <c r="I83" s="142"/>
      <c r="J83" s="142"/>
      <c r="K83" s="142"/>
      <c r="L83" s="142"/>
      <c r="M83" s="142"/>
      <c r="N83" s="142"/>
      <c r="O83" s="142"/>
      <c r="R83" s="142">
        <v>61</v>
      </c>
      <c r="S83" s="142"/>
      <c r="T83" s="142">
        <v>65.5</v>
      </c>
      <c r="U83" s="142"/>
      <c r="V83" s="142">
        <v>75.5</v>
      </c>
      <c r="W83" s="142"/>
      <c r="X83" s="142">
        <v>83.5</v>
      </c>
      <c r="Y83" s="142"/>
      <c r="AB83" s="142">
        <v>76</v>
      </c>
      <c r="AC83" s="142"/>
      <c r="AD83" s="142">
        <v>78.5</v>
      </c>
      <c r="AE83" s="142"/>
      <c r="AF83" s="142">
        <v>86</v>
      </c>
      <c r="AG83" s="142"/>
      <c r="AH83" s="142">
        <v>96</v>
      </c>
      <c r="AI83" s="142"/>
      <c r="AL83" s="142">
        <v>74</v>
      </c>
      <c r="AM83" s="142"/>
      <c r="AN83" s="142">
        <v>78.5</v>
      </c>
      <c r="AO83" s="142"/>
      <c r="AP83" s="142">
        <v>86</v>
      </c>
      <c r="AQ83" s="142"/>
      <c r="AR83" s="142">
        <v>96</v>
      </c>
      <c r="AS83" s="142"/>
      <c r="AV83" s="142">
        <v>93</v>
      </c>
      <c r="AW83" s="142"/>
      <c r="AX83" s="142">
        <v>103</v>
      </c>
      <c r="AY83" s="142"/>
      <c r="AZ83" s="142">
        <v>113</v>
      </c>
      <c r="BA83" s="142"/>
      <c r="BB83" s="142">
        <v>123</v>
      </c>
      <c r="BC83" s="142"/>
      <c r="BF83" s="142">
        <v>93</v>
      </c>
      <c r="BG83" s="142"/>
      <c r="BH83" s="142">
        <v>103</v>
      </c>
      <c r="BI83" s="142"/>
      <c r="BJ83" s="142">
        <v>113</v>
      </c>
      <c r="BK83" s="142"/>
      <c r="BL83" s="142">
        <v>123</v>
      </c>
      <c r="BM83" s="142"/>
    </row>
    <row r="84" spans="5:65" hidden="1" x14ac:dyDescent="0.2">
      <c r="E84" t="s">
        <v>49</v>
      </c>
      <c r="G84" t="str">
        <f>+DIM!$AK$20&amp;"+"&amp;DIM!$S$14</f>
        <v>251+150</v>
      </c>
      <c r="H84" s="113">
        <f>+VLOOKUP($G$84,$G$61:$O$81,2,FALSE)</f>
        <v>0</v>
      </c>
      <c r="I84" s="113">
        <f>+VLOOKUP($G$84,$G$61:$O$81,3,FALSE)</f>
        <v>0</v>
      </c>
      <c r="J84" s="113">
        <f>+VLOOKUP($G$84,$G$61:$O$81,4,FALSE)</f>
        <v>0</v>
      </c>
      <c r="K84" s="113">
        <f>+VLOOKUP($G$84,$G$61:$O$81,5,FALSE)</f>
        <v>0</v>
      </c>
      <c r="L84" s="113">
        <f>+VLOOKUP($G$84,$G$61:$O$81,6,FALSE)</f>
        <v>0</v>
      </c>
      <c r="M84" s="113">
        <f>+VLOOKUP($G$84,$G$61:$O$81,7,FALSE)</f>
        <v>0</v>
      </c>
      <c r="N84" s="113">
        <f>+VLOOKUP($G$84,$G$61:$O$81,8,FALSE)</f>
        <v>0</v>
      </c>
      <c r="O84" s="113">
        <f>+VLOOKUP($G$84,$G$61:$O$81,9,FALSE)</f>
        <v>0</v>
      </c>
      <c r="Q84" t="str">
        <f>+DIM!$AK$20&amp;"+"&amp;DIM!$S$14</f>
        <v>251+150</v>
      </c>
      <c r="R84" s="113">
        <f>+VLOOKUP($Q$84,$Q$61:$Y$81,2,FALSE)</f>
        <v>5.7</v>
      </c>
      <c r="S84" s="113">
        <f>+VLOOKUP($Q$84,$Q$61:$Y$81,3,FALSE)</f>
        <v>6.3</v>
      </c>
      <c r="T84" s="113">
        <f>+VLOOKUP($Q$84,$Q$61:$Y$81,4,FALSE)</f>
        <v>6.2</v>
      </c>
      <c r="U84" s="113">
        <f>+VLOOKUP($Q$84,$Q$61:$Y$81,5,FALSE)</f>
        <v>6.8</v>
      </c>
      <c r="V84" s="113">
        <f>+VLOOKUP($Q$84,$Q$61:$Y$81,6,FALSE)</f>
        <v>6.4</v>
      </c>
      <c r="W84" s="113">
        <f>+VLOOKUP($Q$84,$Q$61:$Y$81,7,FALSE)</f>
        <v>7</v>
      </c>
      <c r="X84" s="113">
        <f>+VLOOKUP($Q$84,$Q$61:$Y$81,8,FALSE)</f>
        <v>6.6</v>
      </c>
      <c r="Y84" s="113">
        <f>+VLOOKUP($Q$84,$Q$61:$Y$81,9,FALSE)</f>
        <v>7.25</v>
      </c>
      <c r="AA84" t="str">
        <f>+DIM!$AK$20&amp;"+"&amp;DIM!$S$14</f>
        <v>251+150</v>
      </c>
      <c r="AB84" s="113">
        <f>+VLOOKUP($AA$84,$AA$61:$AI$83,2,FALSE)</f>
        <v>6.55</v>
      </c>
      <c r="AC84" s="113">
        <f>+VLOOKUP($AA$84,$AA$61:$AI$83,3,FALSE)</f>
        <v>7.2</v>
      </c>
      <c r="AD84" s="113">
        <f>+VLOOKUP($AA$84,$AA$61:$AI$83,4,FALSE)</f>
        <v>7</v>
      </c>
      <c r="AE84" s="113">
        <f>+VLOOKUP($AA$84,$AA$61:$AI$83,5,FALSE)</f>
        <v>7.7</v>
      </c>
      <c r="AF84" s="113">
        <f>+VLOOKUP($AA$84,$AA$61:$AI$83,6,FALSE)</f>
        <v>7.1</v>
      </c>
      <c r="AG84" s="113">
        <f>+VLOOKUP($AA$84,$AA$61:$AI$83,7,FALSE)</f>
        <v>7.85</v>
      </c>
      <c r="AH84" s="113">
        <f>+VLOOKUP($AA$84,$AA$61:$AI$83,8,FALSE)</f>
        <v>7.3</v>
      </c>
      <c r="AI84" s="113">
        <f>+VLOOKUP($AA$84,$AA$61:$AI$83,9,FALSE)</f>
        <v>8.0500000000000007</v>
      </c>
      <c r="AK84" t="str">
        <f>+DIM!$AK$20&amp;"+"&amp;DIM!$S$14</f>
        <v>251+150</v>
      </c>
      <c r="AL84" s="113">
        <f>+VLOOKUP($AK$84,$AK$61:$AS$83,2,FALSE)</f>
        <v>6.6</v>
      </c>
      <c r="AM84" s="113">
        <f>+VLOOKUP($AK$84,$AK$61:$AS$83,3,FALSE)</f>
        <v>6.6</v>
      </c>
      <c r="AN84" s="113">
        <f>+VLOOKUP($AK$84,$AK$61:$AS$83,4,FALSE)</f>
        <v>7</v>
      </c>
      <c r="AO84" s="113">
        <f>+VLOOKUP($AK$84,$AK$61:$AS$83,5,FALSE)</f>
        <v>7.35</v>
      </c>
      <c r="AP84" s="113">
        <f>+VLOOKUP($AK$84,$AK$61:$AS$83,6,FALSE)</f>
        <v>7.05</v>
      </c>
      <c r="AQ84" s="113">
        <f>+VLOOKUP($AK$84,$AK$61:$AS$83,7,FALSE)</f>
        <v>7.45</v>
      </c>
      <c r="AR84" s="113">
        <f>+VLOOKUP($AK$84,$AK$61:$AS$83,8,FALSE)</f>
        <v>7</v>
      </c>
      <c r="AS84" s="113">
        <f>+VLOOKUP($AK$84,$AK$61:$AS$83,9,FALSE)</f>
        <v>7.35</v>
      </c>
      <c r="AU84" t="str">
        <f>+DIM!$AK$20&amp;"+"&amp;DIM!$S$14</f>
        <v>251+150</v>
      </c>
      <c r="AV84" s="113">
        <f>+VLOOKUP($AU$42,$AU$16:$BC$41,2,FALSE)</f>
        <v>8.0500000000000007</v>
      </c>
      <c r="AW84" s="113">
        <f>+VLOOKUP($AU$42,$AU$16:$BC$41,3,FALSE)</f>
        <v>8.8000000000000007</v>
      </c>
      <c r="AX84" s="113">
        <f>+VLOOKUP($AU$42,$AU$16:$BC$41,4,FALSE)</f>
        <v>8.25</v>
      </c>
      <c r="AY84" s="113">
        <f>+VLOOKUP($AU$42,$AU$16:$BC$41,5,FALSE)</f>
        <v>9</v>
      </c>
      <c r="AZ84" s="113">
        <f>+VLOOKUP($AU$42,$AU$16:$BC$41,6,FALSE)</f>
        <v>8.4</v>
      </c>
      <c r="BA84" s="113">
        <f>+VLOOKUP($AU$42,$AU$16:$BC$41,7,FALSE)</f>
        <v>9</v>
      </c>
      <c r="BB84" s="113">
        <f>+VLOOKUP($AU$42,$AU$16:$BC$41,8,FALSE)</f>
        <v>8.5</v>
      </c>
      <c r="BC84" s="113">
        <f>+VLOOKUP($AU$42,$AU$16:$BC$41,9,FALSE)</f>
        <v>9</v>
      </c>
      <c r="BE84" t="str">
        <f>+DIM!$AK$20&amp;"+"&amp;DIM!$S$14</f>
        <v>251+150</v>
      </c>
      <c r="BF84" s="113">
        <f>+VLOOKUP($BE$84,$BE$59:$BM$81,2,FALSE)</f>
        <v>7.15</v>
      </c>
      <c r="BG84" s="113">
        <f>+VLOOKUP($BE$84,$BE$59:$BM$81,3,FALSE)</f>
        <v>7.45</v>
      </c>
      <c r="BH84" s="113">
        <f>+VLOOKUP($BE$84,$BE$59:$BM$81,4,FALSE)</f>
        <v>7</v>
      </c>
      <c r="BI84" s="113">
        <f>+VLOOKUP($BE$84,$BE$59:$BM$81,5,FALSE)</f>
        <v>7.25</v>
      </c>
      <c r="BJ84" s="113">
        <f>+VLOOKUP($BE$84,$BE$59:$BM$81,6,FALSE)</f>
        <v>6.9</v>
      </c>
      <c r="BK84" s="113">
        <f>+VLOOKUP($BE$84,$BE$59:$BM$81,7,FALSE)</f>
        <v>7.1</v>
      </c>
      <c r="BL84" s="113">
        <f>+VLOOKUP($BE$84,$BE$59:$BM$81,8,FALSE)</f>
        <v>6.8</v>
      </c>
      <c r="BM84" s="113">
        <f>+VLOOKUP($BE$84,$BE$59:$BM$81,9,FALSE)</f>
        <v>6.9</v>
      </c>
    </row>
    <row r="85" spans="5:65" hidden="1" x14ac:dyDescent="0.2">
      <c r="F85" t="s">
        <v>47</v>
      </c>
      <c r="G85">
        <f>+DIM!AD61</f>
        <v>0</v>
      </c>
      <c r="H85" s="141">
        <f>+IF(DIM!$AD$15=ebsvs!$H$15,ebsvs!H88,ebsvs!I88)</f>
        <v>5.7</v>
      </c>
      <c r="I85" s="141"/>
      <c r="J85" s="141">
        <f>+IF(DIM!$AD$15=ebsvs!$H$15,ebsvs!J88,ebsvs!K88)</f>
        <v>5.9</v>
      </c>
      <c r="K85" s="141"/>
      <c r="L85" s="141">
        <f>+IF(DIM!$AD$15=ebsvs!$H$15,ebsvs!L88,ebsvs!M88)</f>
        <v>6</v>
      </c>
      <c r="M85" s="141"/>
      <c r="N85" s="141">
        <f>+IF(DIM!$AD$15=ebsvs!$H$15,ebsvs!N88,ebsvs!O88)</f>
        <v>5.9</v>
      </c>
      <c r="O85" s="141"/>
      <c r="Q85" t="str">
        <f>+DIM!AD15</f>
        <v>AL</v>
      </c>
      <c r="R85" s="143">
        <f>+IF(DIM!$AD$15=ebsvs!$H$15,ebsvs!R88,ebsvs!S88)</f>
        <v>5.7</v>
      </c>
      <c r="S85" s="144"/>
      <c r="T85" s="143">
        <f>+IF(DIM!$AD$15=ebsvs!$H$15,ebsvs!T88,ebsvs!U88)</f>
        <v>5.9</v>
      </c>
      <c r="U85" s="144"/>
      <c r="V85" s="143">
        <f>+IF(DIM!$AD$15=ebsvs!$H$15,ebsvs!V88,ebsvs!W88)</f>
        <v>6</v>
      </c>
      <c r="W85" s="144"/>
      <c r="X85" s="143">
        <f>+IF(DIM!$AD$15=ebsvs!$H$15,ebsvs!X88,ebsvs!Y88)</f>
        <v>5.9</v>
      </c>
      <c r="Y85" s="144"/>
      <c r="AA85" t="str">
        <f>+DIM!AD15</f>
        <v>AL</v>
      </c>
      <c r="AB85" s="143">
        <f>+IF(DIM!$AD$15=ebsvs!$H$15,ebsvs!AB88,ebsvs!AC88)</f>
        <v>6.55</v>
      </c>
      <c r="AC85" s="144"/>
      <c r="AD85" s="143">
        <f>+IF(DIM!$AD$15=ebsvs!$H$15,ebsvs!AD88,ebsvs!AE88)</f>
        <v>7</v>
      </c>
      <c r="AE85" s="144"/>
      <c r="AF85" s="143">
        <f>+IF(DIM!$AD$15=ebsvs!$H$15,ebsvs!AF88,ebsvs!AG88)</f>
        <v>7.1</v>
      </c>
      <c r="AG85" s="144"/>
      <c r="AH85" s="143">
        <f>+IF(DIM!$AD$15=ebsvs!$H$15,ebsvs!AH88,ebsvs!AI88)</f>
        <v>7.3</v>
      </c>
      <c r="AI85" s="144"/>
      <c r="AK85" t="str">
        <f>+DIM!AD15</f>
        <v>AL</v>
      </c>
      <c r="AL85" s="143">
        <f>+IF(DIM!$AD$15=$AL$60,ebsvs!AL88,ebsvs!AM88)</f>
        <v>6.6</v>
      </c>
      <c r="AM85" s="144"/>
      <c r="AN85" s="143">
        <f>+IF(DIM!$AD$15=$AL$60,ebsvs!AN88,ebsvs!AO88)</f>
        <v>7</v>
      </c>
      <c r="AO85" s="144"/>
      <c r="AP85" s="143">
        <f>+IF(DIM!$AD$15=$AL$60,ebsvs!AP88,ebsvs!AQ88)</f>
        <v>7.05</v>
      </c>
      <c r="AQ85" s="144"/>
      <c r="AR85" s="143">
        <f>+IF(DIM!$AD$15=$AL$60,ebsvs!AR88,ebsvs!AS88)</f>
        <v>7</v>
      </c>
      <c r="AS85" s="144"/>
      <c r="AU85" t="str">
        <f>+AK85</f>
        <v>AL</v>
      </c>
      <c r="AV85" s="143">
        <f>+IF(DIM!$AD$15=ebsvs!$H$15,ebsvs!AV88,ebsvs!AW88)</f>
        <v>7.8</v>
      </c>
      <c r="AW85" s="144"/>
      <c r="AX85" s="143">
        <f>+IF(DIM!$AD$15=ebsvs!$H$15,ebsvs!AX88,ebsvs!AY88)</f>
        <v>8</v>
      </c>
      <c r="AY85" s="144"/>
      <c r="AZ85" s="143">
        <f>+IF(DIM!$AD$15=ebsvs!$H$15,ebsvs!AZ88,ebsvs!BA88)</f>
        <v>8.1999999999999993</v>
      </c>
      <c r="BA85" s="144"/>
      <c r="BB85" s="143">
        <f>+IF(DIM!$AD$15=ebsvs!$H$15,ebsvs!BB88,ebsvs!BC88)</f>
        <v>8.4</v>
      </c>
      <c r="BC85" s="144"/>
      <c r="BE85" t="str">
        <f>+AU85</f>
        <v>AL</v>
      </c>
      <c r="BF85" s="143">
        <f>+IF(DIM!$AD$15=ebsvs!$H$15,ebsvs!BF88,ebsvs!BG88)</f>
        <v>7.15</v>
      </c>
      <c r="BG85" s="144"/>
      <c r="BH85" s="143">
        <f>+IF(DIM!$AD$15=ebsvs!$H$15,ebsvs!BH88,ebsvs!BI88)</f>
        <v>7</v>
      </c>
      <c r="BI85" s="144"/>
      <c r="BJ85" s="143">
        <f>+IF(DIM!$AD$15=ebsvs!$H$15,ebsvs!BJ88,ebsvs!BK88)</f>
        <v>6.9</v>
      </c>
      <c r="BK85" s="144"/>
      <c r="BL85" s="143">
        <f>+IF(DIM!$AD$15=ebsvs!$H$15,ebsvs!BL88,ebsvs!BM88)</f>
        <v>6.8</v>
      </c>
      <c r="BM85" s="144"/>
    </row>
    <row r="86" spans="5:65" hidden="1" x14ac:dyDescent="0.2">
      <c r="F86" t="s">
        <v>48</v>
      </c>
      <c r="G86" s="113">
        <f>+DIM!S31</f>
        <v>5</v>
      </c>
      <c r="K86" s="115">
        <v>0</v>
      </c>
      <c r="Q86" s="113">
        <f>+DIM!S31</f>
        <v>5</v>
      </c>
      <c r="U86" s="115">
        <f>+HLOOKUP(Q86,R59:Y85,27,FALSE)</f>
        <v>5.7</v>
      </c>
      <c r="AA86" s="113">
        <f>+DIM!S31</f>
        <v>5</v>
      </c>
      <c r="AE86" s="115">
        <f>+HLOOKUP(AA86,AB59:AI85,27,FALSE)</f>
        <v>6.55</v>
      </c>
      <c r="AK86" s="113">
        <f>+DIM!S31</f>
        <v>5</v>
      </c>
      <c r="AO86" s="115">
        <f>+HLOOKUP(AK86,AL59:AS85,27,FALSE)</f>
        <v>6.6</v>
      </c>
      <c r="AU86" s="113">
        <f>+AK86</f>
        <v>5</v>
      </c>
      <c r="AY86" s="115">
        <f>+HLOOKUP(AU86,AV59:BC85,27,FALSE)</f>
        <v>7.8</v>
      </c>
      <c r="BE86" s="114">
        <f>+AU86</f>
        <v>5</v>
      </c>
      <c r="BI86" s="115">
        <f>+HLOOKUP(BE86,BF59:BM85,27,FALSE)</f>
        <v>7.15</v>
      </c>
    </row>
    <row r="87" spans="5:65" hidden="1" x14ac:dyDescent="0.2">
      <c r="F87" t="s">
        <v>65</v>
      </c>
      <c r="K87" s="116" t="str">
        <f>+K56&amp;"+"&amp;G86&amp;" "&amp;L56</f>
        <v>12+5 JUM</v>
      </c>
      <c r="U87" s="116" t="str">
        <f>+U56&amp;"+"&amp;Q86&amp;" "&amp;V56</f>
        <v>12+5 JUM</v>
      </c>
      <c r="AE87" s="116" t="str">
        <f>+AE56&amp;"+"&amp;AA86&amp;" "&amp;AF56</f>
        <v>15+5 JUM</v>
      </c>
      <c r="AO87" s="116" t="str">
        <f>+AO56&amp;"+"&amp;AK86&amp;" "&amp;AP56</f>
        <v>15+5 JUM</v>
      </c>
      <c r="AY87" s="116" t="str">
        <f>+AY56&amp;"+"&amp;AU86&amp;" "&amp;AZ56</f>
        <v>20+5 JUM</v>
      </c>
      <c r="BI87" s="116" t="str">
        <f>+BI56&amp;"+"&amp;BE86&amp;" "&amp;BJ56</f>
        <v>20+5 JUM</v>
      </c>
    </row>
    <row r="88" spans="5:65" hidden="1" x14ac:dyDescent="0.2">
      <c r="F88" t="s">
        <v>66</v>
      </c>
      <c r="G88">
        <f>+DIM!S65</f>
        <v>0</v>
      </c>
      <c r="K88" s="111">
        <f>+HLOOKUP(G86,H59:O82,24,FALSE)</f>
        <v>0</v>
      </c>
      <c r="U88" s="111">
        <f>+HLOOKUP(Q86,R59:Y82,24,FALSE)</f>
        <v>179</v>
      </c>
      <c r="AE88" s="111">
        <f>+HLOOKUP(AA86,AB59:AI82,24,FALSE)</f>
        <v>253</v>
      </c>
      <c r="AO88" s="111">
        <f>+HLOOKUP(AK86,AL59:AS82,24,FALSE)</f>
        <v>232</v>
      </c>
      <c r="AY88" s="111">
        <f>+HLOOKUP(AU86,AV59:BC82,24,FALSE)</f>
        <v>322</v>
      </c>
      <c r="BI88" s="111">
        <f>+HLOOKUP(BE86,BF59:BM82,24,FALSE)</f>
        <v>322</v>
      </c>
    </row>
    <row r="89" spans="5:65" hidden="1" x14ac:dyDescent="0.2">
      <c r="F89">
        <v>12</v>
      </c>
      <c r="G89">
        <f>+IF($G$46="avec etai",K86,U86)</f>
        <v>0</v>
      </c>
      <c r="H89">
        <f>+IF($G$46="avec etai",K88,U88)</f>
        <v>0</v>
      </c>
      <c r="I89">
        <f>+IF($G$46="avec etai",K89,U89)</f>
        <v>0</v>
      </c>
      <c r="K89" s="111">
        <f>+HLOOKUP(G86,H59:O83,25,FALSE)</f>
        <v>0</v>
      </c>
      <c r="U89" s="111">
        <f>+HLOOKUP(Q86,R59:Y83,25,FALSE)</f>
        <v>61</v>
      </c>
      <c r="AE89" s="111">
        <f>+HLOOKUP(AA86,AB59:AI83,25,FALSE)</f>
        <v>76</v>
      </c>
      <c r="AO89" s="111">
        <f>+HLOOKUP(AK86,AL59:AS83,25,FALSE)</f>
        <v>74</v>
      </c>
      <c r="AY89" s="111">
        <f>+HLOOKUP(AU86,AV59:BC83,25,FALSE)</f>
        <v>93</v>
      </c>
      <c r="BI89" s="111">
        <f>+HLOOKUP(BE86,BF59:BM83,25,FALSE)</f>
        <v>93</v>
      </c>
    </row>
    <row r="90" spans="5:65" hidden="1" x14ac:dyDescent="0.2">
      <c r="F90">
        <v>15</v>
      </c>
      <c r="G90">
        <f>+IF($G$46="avec etai",AE86,AO86)</f>
        <v>6.55</v>
      </c>
      <c r="H90">
        <f>+IF($G$46="avec etai",AE88,AO88)</f>
        <v>253</v>
      </c>
      <c r="I90">
        <f>+IF($G$46="avec etai",AE89,AO89)</f>
        <v>76</v>
      </c>
    </row>
    <row r="91" spans="5:65" ht="19.5" hidden="1" x14ac:dyDescent="0.35">
      <c r="F91">
        <v>20</v>
      </c>
      <c r="G91">
        <f>+IF($G$46="avec etai",AY86,BI86)</f>
        <v>7.8</v>
      </c>
      <c r="H91">
        <f>+IF($G$46="avec etaii",AY88,BI88)</f>
        <v>322</v>
      </c>
      <c r="I91">
        <f>+IF($G$46="avec etai",AY89,BI89)</f>
        <v>93</v>
      </c>
      <c r="K91" s="110">
        <v>12</v>
      </c>
      <c r="L91" s="110" t="s">
        <v>87</v>
      </c>
      <c r="U91" s="110">
        <v>12</v>
      </c>
      <c r="V91" s="110" t="s">
        <v>87</v>
      </c>
      <c r="AE91" s="110">
        <v>15</v>
      </c>
      <c r="AF91" s="110" t="s">
        <v>87</v>
      </c>
      <c r="AO91" s="110">
        <v>15</v>
      </c>
      <c r="AP91" s="110" t="s">
        <v>87</v>
      </c>
      <c r="AY91" s="110">
        <v>20</v>
      </c>
      <c r="AZ91" s="110" t="s">
        <v>87</v>
      </c>
      <c r="BI91" s="110">
        <v>20</v>
      </c>
      <c r="BJ91" s="110" t="s">
        <v>87</v>
      </c>
    </row>
    <row r="92" spans="5:65" hidden="1" x14ac:dyDescent="0.2">
      <c r="E92" t="s">
        <v>70</v>
      </c>
      <c r="F92" t="s">
        <v>74</v>
      </c>
      <c r="G92">
        <f>+VLOOKUP(DIM!Q31,ebsvs!F93:I95,2,FALSE)</f>
        <v>5.7</v>
      </c>
      <c r="K92" s="111" t="s">
        <v>78</v>
      </c>
      <c r="U92" s="111" t="s">
        <v>83</v>
      </c>
      <c r="AE92" s="111" t="s">
        <v>84</v>
      </c>
      <c r="AO92" s="111" t="s">
        <v>79</v>
      </c>
      <c r="AY92" s="111" t="s">
        <v>84</v>
      </c>
      <c r="BI92" s="111" t="s">
        <v>79</v>
      </c>
    </row>
    <row r="93" spans="5:65" hidden="1" x14ac:dyDescent="0.2">
      <c r="F93" t="s">
        <v>75</v>
      </c>
      <c r="G93">
        <f>+VLOOKUP(DIM!Q31,ebsvs!F93:I95,3,FALSE)</f>
        <v>179</v>
      </c>
    </row>
    <row r="94" spans="5:65" hidden="1" x14ac:dyDescent="0.2">
      <c r="F94" t="s">
        <v>72</v>
      </c>
      <c r="G94">
        <f>+VLOOKUP(DIM!Q31,ebsvs!F93:I95,4,FALSE)</f>
        <v>61</v>
      </c>
    </row>
    <row r="95" spans="5:65" hidden="1" x14ac:dyDescent="0.2"/>
    <row r="96" spans="5:65" hidden="1" x14ac:dyDescent="0.2"/>
    <row r="97" spans="6:65" hidden="1" x14ac:dyDescent="0.2"/>
    <row r="98" spans="6:65" hidden="1" x14ac:dyDescent="0.2">
      <c r="G98" t="s">
        <v>130</v>
      </c>
      <c r="H98" s="142" t="s">
        <v>112</v>
      </c>
      <c r="I98" s="142"/>
      <c r="J98" s="142" t="s">
        <v>113</v>
      </c>
      <c r="K98" s="142"/>
      <c r="L98" s="142" t="s">
        <v>114</v>
      </c>
      <c r="M98" s="142"/>
      <c r="N98" s="142" t="s">
        <v>115</v>
      </c>
      <c r="O98" s="142"/>
      <c r="Q98" t="s">
        <v>130</v>
      </c>
      <c r="R98" s="142" t="s">
        <v>112</v>
      </c>
      <c r="S98" s="142"/>
      <c r="T98" s="142" t="s">
        <v>113</v>
      </c>
      <c r="U98" s="142"/>
      <c r="V98" s="142" t="s">
        <v>114</v>
      </c>
      <c r="W98" s="142"/>
      <c r="X98" s="142" t="s">
        <v>115</v>
      </c>
      <c r="Y98" s="142"/>
      <c r="AA98" t="s">
        <v>130</v>
      </c>
      <c r="AB98" s="142" t="s">
        <v>116</v>
      </c>
      <c r="AC98" s="142"/>
      <c r="AD98" s="142" t="s">
        <v>117</v>
      </c>
      <c r="AE98" s="142"/>
      <c r="AF98" s="142" t="s">
        <v>118</v>
      </c>
      <c r="AG98" s="142"/>
      <c r="AH98" s="142" t="s">
        <v>119</v>
      </c>
      <c r="AI98" s="142"/>
      <c r="AK98" t="s">
        <v>130</v>
      </c>
      <c r="AL98" s="142" t="s">
        <v>116</v>
      </c>
      <c r="AM98" s="142"/>
      <c r="AN98" s="142" t="s">
        <v>117</v>
      </c>
      <c r="AO98" s="142"/>
      <c r="AP98" s="142" t="s">
        <v>118</v>
      </c>
      <c r="AQ98" s="142"/>
      <c r="AR98" s="142" t="s">
        <v>119</v>
      </c>
      <c r="AS98" s="142"/>
      <c r="AU98" t="s">
        <v>130</v>
      </c>
      <c r="AV98" s="142" t="s">
        <v>120</v>
      </c>
      <c r="AW98" s="142"/>
      <c r="AX98" s="142" t="s">
        <v>121</v>
      </c>
      <c r="AY98" s="142"/>
      <c r="AZ98" s="142" t="s">
        <v>122</v>
      </c>
      <c r="BA98" s="142"/>
      <c r="BB98" s="142" t="s">
        <v>123</v>
      </c>
      <c r="BC98" s="142"/>
      <c r="BE98" t="s">
        <v>130</v>
      </c>
      <c r="BF98" s="142" t="s">
        <v>120</v>
      </c>
      <c r="BG98" s="142"/>
      <c r="BH98" s="142" t="s">
        <v>121</v>
      </c>
      <c r="BI98" s="142"/>
      <c r="BJ98" s="142" t="s">
        <v>122</v>
      </c>
      <c r="BK98" s="142"/>
      <c r="BL98" s="142" t="s">
        <v>123</v>
      </c>
      <c r="BM98" s="142"/>
    </row>
    <row r="99" spans="6:65" hidden="1" x14ac:dyDescent="0.2">
      <c r="H99" s="142">
        <f>+IF(H86&gt;$F$111,1,0)</f>
        <v>0</v>
      </c>
      <c r="I99" s="142"/>
      <c r="J99" s="142">
        <f>+IF(J86&gt;$F$111,1,0)</f>
        <v>0</v>
      </c>
      <c r="K99" s="142"/>
      <c r="L99" s="142">
        <f>+IF(L86&gt;$F$111,1,0)</f>
        <v>0</v>
      </c>
      <c r="M99" s="142"/>
      <c r="N99" s="142">
        <f>+IF(N86&gt;$F$111,1,0)</f>
        <v>0</v>
      </c>
      <c r="O99" s="142"/>
      <c r="R99" s="142">
        <f>+IF(R86&gt;$F$111,1,0)</f>
        <v>0</v>
      </c>
      <c r="S99" s="142"/>
      <c r="T99" s="142">
        <f>+IF(T86&gt;$F$111,1,0)</f>
        <v>0</v>
      </c>
      <c r="U99" s="142"/>
      <c r="V99" s="142">
        <f>+IF(V86&gt;$F$111,1,0)</f>
        <v>0</v>
      </c>
      <c r="W99" s="142"/>
      <c r="X99" s="142">
        <f>+IF(X86&gt;$F$111,1,0)</f>
        <v>0</v>
      </c>
      <c r="Y99" s="142"/>
      <c r="AB99" s="142">
        <f>+IF(AB86&gt;$F$111,1,0)</f>
        <v>0</v>
      </c>
      <c r="AC99" s="142"/>
      <c r="AD99" s="142">
        <f>+IF(AD86&gt;$F$111,1,0)</f>
        <v>0</v>
      </c>
      <c r="AE99" s="142"/>
      <c r="AF99" s="142">
        <f>+IF(AF86&gt;$F$111,1,0)</f>
        <v>0</v>
      </c>
      <c r="AG99" s="142"/>
      <c r="AH99" s="142">
        <f>+IF(AH86&gt;$F$111,1,0)</f>
        <v>0</v>
      </c>
      <c r="AI99" s="142"/>
      <c r="AL99" s="142">
        <f>+IF(AL86&gt;$F$111,1,0)</f>
        <v>0</v>
      </c>
      <c r="AM99" s="142"/>
      <c r="AN99" s="142">
        <f>+IF(AN86&gt;$F$111,1,0)</f>
        <v>0</v>
      </c>
      <c r="AO99" s="142"/>
      <c r="AP99" s="142">
        <f>+IF(AP86&gt;$F$111,1,0)</f>
        <v>0</v>
      </c>
      <c r="AQ99" s="142"/>
      <c r="AR99" s="142">
        <f>+IF(AR86&gt;$F$111,1,0)</f>
        <v>0</v>
      </c>
      <c r="AS99" s="142"/>
      <c r="AV99" s="142">
        <f>+IF(AV86&gt;$F$111,1,0)</f>
        <v>0</v>
      </c>
      <c r="AW99" s="142"/>
      <c r="AX99" s="142">
        <f>+IF(AX86&gt;$F$111,1,0)</f>
        <v>0</v>
      </c>
      <c r="AY99" s="142"/>
      <c r="AZ99" s="142">
        <f>+IF(AZ86&gt;$F$111,1,0)</f>
        <v>0</v>
      </c>
      <c r="BA99" s="142"/>
      <c r="BB99" s="142">
        <f>+IF(BB86&gt;$F$111,1,0)</f>
        <v>0</v>
      </c>
      <c r="BC99" s="142"/>
      <c r="BF99" s="142">
        <f>+IF(BF86&gt;$F$111,1,0)</f>
        <v>0</v>
      </c>
      <c r="BG99" s="142"/>
      <c r="BH99" s="142">
        <f>+IF(BH86&gt;$F$111,1,0)</f>
        <v>0</v>
      </c>
      <c r="BI99" s="142"/>
      <c r="BJ99" s="142">
        <f>+IF(BJ86&gt;$F$111,1,0)</f>
        <v>0</v>
      </c>
      <c r="BK99" s="142"/>
      <c r="BL99" s="142">
        <f>+IF(BL86&gt;$F$111,1,0)</f>
        <v>0</v>
      </c>
      <c r="BM99" s="142"/>
    </row>
    <row r="100" spans="6:65" hidden="1" x14ac:dyDescent="0.2">
      <c r="F100" s="113"/>
      <c r="H100" s="49"/>
      <c r="I100" s="49"/>
      <c r="J100" s="49"/>
      <c r="K100" s="49"/>
      <c r="L100" s="49"/>
      <c r="M100" s="49"/>
      <c r="N100" s="49"/>
      <c r="O100" s="49"/>
      <c r="R100" s="49"/>
      <c r="S100" s="49"/>
      <c r="T100" s="49"/>
      <c r="U100" s="49"/>
      <c r="V100" s="49"/>
      <c r="W100" s="49"/>
      <c r="X100" s="49"/>
      <c r="Y100" s="49"/>
      <c r="AB100" s="49"/>
      <c r="AC100" s="49"/>
      <c r="AD100" s="49"/>
      <c r="AE100" s="49"/>
      <c r="AF100" s="49"/>
      <c r="AG100" s="49"/>
      <c r="AH100" s="49"/>
      <c r="AI100" s="49"/>
      <c r="AL100" s="49"/>
      <c r="AM100" s="49"/>
      <c r="AN100" s="49"/>
      <c r="AO100" s="49"/>
      <c r="AP100" s="49"/>
      <c r="AQ100" s="49"/>
      <c r="AR100" s="49"/>
      <c r="AS100" s="49"/>
      <c r="AV100" s="49"/>
      <c r="AW100" s="49"/>
      <c r="AX100" s="49"/>
      <c r="AY100" s="49"/>
      <c r="AZ100" s="49"/>
      <c r="BA100" s="49"/>
      <c r="BB100" s="49"/>
      <c r="BC100" s="49"/>
      <c r="BF100" s="49"/>
      <c r="BG100" s="49"/>
      <c r="BH100" s="49"/>
      <c r="BI100" s="49"/>
      <c r="BJ100" s="49"/>
      <c r="BK100" s="49"/>
      <c r="BL100" s="49"/>
      <c r="BM100" s="49"/>
    </row>
    <row r="101" spans="6:65" hidden="1" x14ac:dyDescent="0.2">
      <c r="F101" s="113"/>
      <c r="H101" s="49"/>
      <c r="X101" s="49"/>
      <c r="Y101" s="49"/>
      <c r="AB101" s="49"/>
      <c r="AC101" s="49"/>
      <c r="AD101" s="49"/>
      <c r="AE101" s="49"/>
      <c r="AF101" s="49"/>
      <c r="AG101" s="49"/>
      <c r="AH101" s="49"/>
      <c r="AI101" s="49"/>
      <c r="AL101" s="49"/>
      <c r="AM101" s="49"/>
      <c r="AN101" s="49"/>
      <c r="AO101" s="49"/>
      <c r="AP101" s="49"/>
      <c r="AQ101" s="49"/>
      <c r="AR101" s="49"/>
      <c r="AS101" s="49"/>
      <c r="AV101" s="49"/>
      <c r="AW101" s="49"/>
      <c r="AX101" s="49"/>
      <c r="AY101" s="49"/>
      <c r="AZ101" s="49"/>
      <c r="BA101" s="49"/>
      <c r="BB101" s="49"/>
      <c r="BC101" s="49"/>
      <c r="BF101" s="49"/>
      <c r="BG101" s="49"/>
      <c r="BH101" s="49"/>
      <c r="BI101" s="49"/>
      <c r="BJ101" s="49"/>
      <c r="BK101" s="49"/>
      <c r="BL101" s="49"/>
      <c r="BM101" s="49"/>
    </row>
    <row r="102" spans="6:65" hidden="1" x14ac:dyDescent="0.2">
      <c r="F102" s="113"/>
      <c r="H102" s="49"/>
      <c r="X102" s="49"/>
      <c r="Y102" s="49"/>
      <c r="AB102" s="49"/>
      <c r="AC102" s="49"/>
      <c r="AD102" s="49"/>
      <c r="AF102" s="49"/>
      <c r="AG102" s="49"/>
      <c r="AH102" s="49"/>
      <c r="AI102" s="49"/>
      <c r="AL102" s="49"/>
      <c r="AM102" s="49"/>
      <c r="AN102" s="49"/>
      <c r="AP102" s="49"/>
      <c r="AQ102" s="49"/>
      <c r="AR102" s="49"/>
      <c r="AS102" s="49"/>
      <c r="AV102" s="49"/>
      <c r="AW102" s="49"/>
      <c r="AX102" s="49"/>
      <c r="AZ102" s="49"/>
      <c r="BA102" s="49"/>
      <c r="BB102" s="49"/>
      <c r="BC102" s="49"/>
      <c r="BF102" s="49"/>
      <c r="BG102" s="49"/>
      <c r="BH102" s="49"/>
      <c r="BJ102" s="49"/>
      <c r="BK102" s="49"/>
      <c r="BL102" s="49"/>
      <c r="BM102" s="49"/>
    </row>
    <row r="103" spans="6:65" hidden="1" x14ac:dyDescent="0.2">
      <c r="F103" s="113"/>
      <c r="H103" s="49"/>
      <c r="J103" s="111"/>
      <c r="T103" s="111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s="111"/>
      <c r="T104" s="111"/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J105" s="111"/>
      <c r="T105" s="111"/>
      <c r="X105" s="49"/>
      <c r="Y105" s="49"/>
      <c r="AB105" s="49"/>
      <c r="AC105" s="49"/>
      <c r="AD105" s="49"/>
      <c r="AE105" s="49"/>
      <c r="AF105" s="49"/>
      <c r="AG105" s="49"/>
      <c r="AH105" s="49"/>
      <c r="AI105" s="49"/>
      <c r="AL105" s="49"/>
      <c r="AM105" s="49"/>
      <c r="AN105" s="49"/>
      <c r="AO105" s="49"/>
      <c r="AP105" s="49"/>
      <c r="AQ105" s="49"/>
      <c r="AR105" s="49"/>
      <c r="AS105" s="49"/>
      <c r="AV105" s="49"/>
      <c r="AW105" s="49"/>
      <c r="AX105" s="49"/>
      <c r="AY105" s="49"/>
      <c r="AZ105" s="49"/>
      <c r="BA105" s="49"/>
      <c r="BB105" s="49"/>
      <c r="BC105" s="49"/>
      <c r="BF105" s="49"/>
      <c r="BG105" s="49"/>
      <c r="BH105" s="49"/>
      <c r="BI105" s="49"/>
      <c r="BJ105" s="49"/>
      <c r="BK105" s="49"/>
      <c r="BL105" s="49"/>
      <c r="BM105" s="49"/>
    </row>
    <row r="106" spans="6:65" hidden="1" x14ac:dyDescent="0.2">
      <c r="F106" s="113"/>
      <c r="H106" s="49"/>
      <c r="I106" s="49"/>
      <c r="J106" s="49"/>
      <c r="K106" s="49"/>
      <c r="L106" s="49"/>
      <c r="M106" s="49"/>
      <c r="N106" s="49"/>
      <c r="O106" s="49"/>
      <c r="R106" s="49"/>
      <c r="S106" s="49"/>
      <c r="T106" s="49"/>
      <c r="U106" s="49"/>
      <c r="V106" s="49"/>
      <c r="W106" s="49"/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s="49"/>
      <c r="J107" s="49"/>
      <c r="K107" s="49"/>
      <c r="L107" s="49"/>
      <c r="M107" s="49"/>
      <c r="N107" s="49"/>
      <c r="O107" s="49"/>
      <c r="R107" s="49"/>
      <c r="S107" s="49"/>
      <c r="T107" s="49"/>
      <c r="U107" s="49"/>
      <c r="V107" s="49"/>
      <c r="W107" s="49"/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J108" s="111"/>
      <c r="T108" s="111"/>
    </row>
    <row r="109" spans="6:65" hidden="1" x14ac:dyDescent="0.2">
      <c r="J109" s="111"/>
      <c r="T109" s="111"/>
    </row>
    <row r="110" spans="6:65" hidden="1" x14ac:dyDescent="0.2">
      <c r="H110" s="141" t="s">
        <v>132</v>
      </c>
      <c r="I110" s="141"/>
      <c r="J110" s="141" t="s">
        <v>133</v>
      </c>
      <c r="K110" s="141"/>
      <c r="L110" s="141" t="s">
        <v>134</v>
      </c>
      <c r="M110" s="141"/>
      <c r="N110" s="141" t="s">
        <v>135</v>
      </c>
      <c r="O110" s="141"/>
      <c r="R110" s="141" t="s">
        <v>132</v>
      </c>
      <c r="S110" s="141"/>
      <c r="T110" s="141" t="s">
        <v>133</v>
      </c>
      <c r="U110" s="141"/>
      <c r="V110" s="141" t="s">
        <v>134</v>
      </c>
      <c r="W110" s="141"/>
      <c r="X110" s="141" t="s">
        <v>135</v>
      </c>
      <c r="Y110" s="141"/>
      <c r="AB110" s="141" t="s">
        <v>136</v>
      </c>
      <c r="AC110" s="141"/>
      <c r="AD110" s="141" t="s">
        <v>137</v>
      </c>
      <c r="AE110" s="141"/>
      <c r="AF110" s="141" t="s">
        <v>138</v>
      </c>
      <c r="AG110" s="141"/>
      <c r="AH110" s="141" t="s">
        <v>139</v>
      </c>
      <c r="AI110" s="141"/>
      <c r="AL110" s="141" t="s">
        <v>136</v>
      </c>
      <c r="AM110" s="141"/>
      <c r="AN110" s="141" t="s">
        <v>137</v>
      </c>
      <c r="AO110" s="141"/>
      <c r="AP110" s="141" t="s">
        <v>138</v>
      </c>
      <c r="AQ110" s="141"/>
      <c r="AR110" s="141" t="s">
        <v>139</v>
      </c>
      <c r="AS110" s="141"/>
      <c r="AV110" s="141" t="s">
        <v>140</v>
      </c>
      <c r="AW110" s="141"/>
      <c r="AX110" s="141" t="s">
        <v>141</v>
      </c>
      <c r="AY110" s="141"/>
      <c r="AZ110" s="141" t="s">
        <v>142</v>
      </c>
      <c r="BA110" s="141"/>
      <c r="BB110" s="141" t="s">
        <v>143</v>
      </c>
      <c r="BC110" s="141"/>
      <c r="BF110" s="141" t="s">
        <v>140</v>
      </c>
      <c r="BG110" s="141"/>
      <c r="BH110" s="141" t="s">
        <v>141</v>
      </c>
      <c r="BI110" s="141"/>
      <c r="BJ110" s="141" t="s">
        <v>142</v>
      </c>
      <c r="BK110" s="141"/>
      <c r="BL110" s="141" t="s">
        <v>143</v>
      </c>
      <c r="BM110" s="141"/>
    </row>
    <row r="111" spans="6:65" hidden="1" x14ac:dyDescent="0.2">
      <c r="F111" s="113">
        <f>+DIM!S10-0.01</f>
        <v>4.99</v>
      </c>
      <c r="H111" s="142">
        <f>+IF(H43&gt;$F$111,1,0)</f>
        <v>1</v>
      </c>
      <c r="I111" s="142"/>
      <c r="J111" s="142">
        <f>+IF(J43&gt;$F$111,1,0)</f>
        <v>1</v>
      </c>
      <c r="K111" s="142"/>
      <c r="L111" s="142">
        <f>+IF(L43&gt;$F$111,1,0)</f>
        <v>1</v>
      </c>
      <c r="M111" s="142"/>
      <c r="N111" s="142">
        <f>+IF(N43&gt;$F$111,1,0)</f>
        <v>1</v>
      </c>
      <c r="O111" s="142"/>
      <c r="R111" s="142">
        <f>+IF(R43&gt;$F$111,1,0)</f>
        <v>0</v>
      </c>
      <c r="S111" s="142"/>
      <c r="T111" s="142">
        <f>+IF(T43&gt;$F$111,1,0)</f>
        <v>0</v>
      </c>
      <c r="U111" s="142"/>
      <c r="V111" s="142">
        <f>+IF(V43&gt;$F$111,1,0)</f>
        <v>0</v>
      </c>
      <c r="W111" s="142"/>
      <c r="X111" s="142">
        <f>+IF(X43&gt;$F$111,1,0)</f>
        <v>0</v>
      </c>
      <c r="Y111" s="142"/>
      <c r="AB111" s="142">
        <f>+IF(AB43&gt;$F$111,1,0)</f>
        <v>1</v>
      </c>
      <c r="AC111" s="142"/>
      <c r="AD111" s="142">
        <f>+IF(AD43&gt;$F$111,1,0)</f>
        <v>1</v>
      </c>
      <c r="AE111" s="142"/>
      <c r="AF111" s="142">
        <f>+IF(AF43&gt;$F$111,1,0)</f>
        <v>1</v>
      </c>
      <c r="AG111" s="142"/>
      <c r="AH111" s="142">
        <f>+IF(AH43&gt;$F$111,1,0)</f>
        <v>1</v>
      </c>
      <c r="AI111" s="142"/>
      <c r="AL111" s="142">
        <f>+IF(AL43&gt;$F$111,1,0)</f>
        <v>1</v>
      </c>
      <c r="AM111" s="142"/>
      <c r="AN111" s="142">
        <f>+IF(AN43&gt;$F$111,1,0)</f>
        <v>1</v>
      </c>
      <c r="AO111" s="142"/>
      <c r="AP111" s="142">
        <f>+IF(AP43&gt;$F$111,1,0)</f>
        <v>1</v>
      </c>
      <c r="AQ111" s="142"/>
      <c r="AR111" s="142">
        <f>+IF(AR43&gt;$F$111,1,0)</f>
        <v>1</v>
      </c>
      <c r="AS111" s="142"/>
      <c r="AV111" s="142">
        <f>+IF(AV43&gt;$F$111,1,0)</f>
        <v>1</v>
      </c>
      <c r="AW111" s="142"/>
      <c r="AX111" s="142">
        <f>+IF(AX43&gt;$F$111,1,0)</f>
        <v>1</v>
      </c>
      <c r="AY111" s="142"/>
      <c r="AZ111" s="142">
        <f>+IF(AZ43&gt;$F$111,1,0)</f>
        <v>1</v>
      </c>
      <c r="BA111" s="142"/>
      <c r="BB111" s="142">
        <f>+IF(BB43&gt;$F$111,1,0)</f>
        <v>1</v>
      </c>
      <c r="BC111" s="142"/>
      <c r="BF111" s="142">
        <f>+IF(BF43&gt;$F$111,1,0)</f>
        <v>1</v>
      </c>
      <c r="BG111" s="142"/>
      <c r="BH111" s="142">
        <f>+IF(BH43&gt;$F$111,1,0)</f>
        <v>1</v>
      </c>
      <c r="BI111" s="142"/>
      <c r="BJ111" s="142">
        <f>+IF(BJ43&gt;$F$111,1,0)</f>
        <v>1</v>
      </c>
      <c r="BK111" s="142"/>
      <c r="BL111" s="142">
        <f>+IF(BL43&gt;$F$111,1,0)</f>
        <v>1</v>
      </c>
      <c r="BM111" s="142"/>
    </row>
    <row r="112" spans="6:65" hidden="1" x14ac:dyDescent="0.2"/>
    <row r="113" spans="8:61" hidden="1" x14ac:dyDescent="0.2">
      <c r="J113" t="s">
        <v>124</v>
      </c>
      <c r="L113" t="s">
        <v>88</v>
      </c>
      <c r="T113" t="s">
        <v>125</v>
      </c>
      <c r="V113" t="s">
        <v>88</v>
      </c>
    </row>
    <row r="114" spans="8:61" hidden="1" x14ac:dyDescent="0.2">
      <c r="K114" t="str">
        <f>+IF(H111=1,H110,IF(J111=1,J110,IF(L111=1,L110,IF(N111=1,N110,0))))</f>
        <v>C17+5</v>
      </c>
      <c r="L114" t="str">
        <f>+AE114</f>
        <v>C21+5</v>
      </c>
      <c r="M114" t="str">
        <f>+AY114</f>
        <v>C25+5</v>
      </c>
      <c r="U114">
        <f>+IF(R111=1,R110,IF(T111=1,T110,IF(V111=1,V110,IF(X111=1,X110,0))))</f>
        <v>0</v>
      </c>
      <c r="V114" t="str">
        <f>+AO114</f>
        <v>C21+5</v>
      </c>
      <c r="W114" t="str">
        <f>+BI114</f>
        <v>C25+5</v>
      </c>
      <c r="AE114" t="str">
        <f>+IF(AB111=1,AB110,IF(AD111=1,AD110,IF(AF111=1,AF110,IF(AH111=1,AH110,0))))</f>
        <v>C21+5</v>
      </c>
      <c r="AO114" t="str">
        <f>+IF(AL111=1,AL110,IF(AN111=1,AN110,IF(AP111=1,AP110,IF(AR111=1,AR110,0))))</f>
        <v>C21+5</v>
      </c>
      <c r="AY114" t="str">
        <f>+IF(AV111=1,AV110,IF(AX111=1,AX110,IF(AZ111=1,AZ110,IF(BB111=1,BB110,0))))</f>
        <v>C25+5</v>
      </c>
      <c r="BI114" t="str">
        <f>+IF(BF111=1,BF110,IF(BH111=1,BH110,IF(BJ111=1,BJ110,IF(BL111=1,BL110,0))))</f>
        <v>C25+5</v>
      </c>
    </row>
    <row r="115" spans="8:61" hidden="1" x14ac:dyDescent="0.2">
      <c r="J115" s="111" t="str">
        <f>+IF(K114&gt;0,K114,IF(L114&gt;0,L114,IF(M114&gt;0,M114,"hors limite")))</f>
        <v>C17+5</v>
      </c>
      <c r="T115" s="111" t="str">
        <f>+IF(U114&gt;0,U114,IF(V114&gt;0,V114,IF(W114&gt;0,W114,"hors limite")))</f>
        <v>C21+5</v>
      </c>
    </row>
    <row r="116" spans="8:61" hidden="1" x14ac:dyDescent="0.2">
      <c r="I116" t="s">
        <v>75</v>
      </c>
      <c r="J116" s="111">
        <f>+IF(K114&gt;0,K116,IF(L114&gt;0,L116,IF(M114&gt;0,M116,0)))</f>
        <v>174</v>
      </c>
      <c r="K116">
        <f>+HLOOKUP(J115,H13:O42,28,FALSE)</f>
        <v>174</v>
      </c>
      <c r="L116">
        <f>+HLOOKUP(L114,AB13:AI41,28,FALSE)</f>
        <v>192</v>
      </c>
      <c r="M116">
        <f>+HLOOKUP(M114,AV13:BC41,28,FALSE)</f>
        <v>214</v>
      </c>
      <c r="T116" s="111">
        <f>+IF(U114&gt;0,U116,IF(V114&gt;0,V116,IF(W114&gt;0,W116,0)))</f>
        <v>192</v>
      </c>
      <c r="U116" t="e">
        <f>+HLOOKUP(U114,R13:Y41,28,FALSE)</f>
        <v>#N/A</v>
      </c>
      <c r="V116">
        <f>+HLOOKUP(V114,AL13:AS41,28,FALSE)</f>
        <v>192</v>
      </c>
      <c r="W116">
        <f>+HLOOKUP(W114,BF13:BM41,28,FALSE)</f>
        <v>214</v>
      </c>
    </row>
    <row r="117" spans="8:61" hidden="1" x14ac:dyDescent="0.2">
      <c r="I117" t="s">
        <v>72</v>
      </c>
      <c r="J117" s="111">
        <f>+IF(K114&gt;0,K117,IF(L114&gt;0,L117,IF(M114&gt;0,M117,0)))</f>
        <v>50</v>
      </c>
      <c r="K117">
        <f>+HLOOKUP(J115,H13:O41,29,FALSE)</f>
        <v>50</v>
      </c>
      <c r="L117">
        <f>+HLOOKUP(L114,AB13:AI41,29,FALSE)</f>
        <v>50</v>
      </c>
      <c r="M117">
        <f>+HLOOKUP(M114,AV13:BC89,29,FALSE)</f>
        <v>50</v>
      </c>
      <c r="T117" s="111">
        <f>+IF(U114&gt;0,U117,IF(V114&gt;0,V117,IF(W114&gt;0,W117,0)))</f>
        <v>50</v>
      </c>
      <c r="U117" t="e">
        <f>+HLOOKUP(U114,R13:Y41,29,FALSE)</f>
        <v>#N/A</v>
      </c>
      <c r="V117">
        <f>+HLOOKUP(V114,AL13:AS41,29,FALSE)</f>
        <v>50</v>
      </c>
      <c r="W117">
        <f>+HLOOKUP(W114,BF13:BM41,29,FALSE)</f>
        <v>50</v>
      </c>
    </row>
    <row r="118" spans="8:61" hidden="1" x14ac:dyDescent="0.2">
      <c r="I118" t="s">
        <v>151</v>
      </c>
      <c r="J118">
        <f>IF(J115="hors limite",0,+HLOOKUP(J115,$H$121:$S$122,2,FALSE))</f>
        <v>22</v>
      </c>
      <c r="T118">
        <f>+HLOOKUP(T115,$H$121:$S$122,2,FALSE)</f>
        <v>26</v>
      </c>
    </row>
    <row r="119" spans="8:61" hidden="1" x14ac:dyDescent="0.2"/>
    <row r="120" spans="8:61" hidden="1" x14ac:dyDescent="0.2"/>
    <row r="121" spans="8:61" hidden="1" x14ac:dyDescent="0.2">
      <c r="H121" s="112" t="s">
        <v>132</v>
      </c>
      <c r="I121" s="112" t="s">
        <v>133</v>
      </c>
      <c r="J121" s="112" t="s">
        <v>134</v>
      </c>
      <c r="K121" s="112" t="s">
        <v>135</v>
      </c>
      <c r="L121" s="112" t="s">
        <v>136</v>
      </c>
      <c r="M121" s="112" t="s">
        <v>137</v>
      </c>
      <c r="N121" s="112" t="s">
        <v>138</v>
      </c>
      <c r="O121" s="112" t="s">
        <v>139</v>
      </c>
      <c r="P121" s="112" t="s">
        <v>140</v>
      </c>
      <c r="Q121" s="112" t="s">
        <v>141</v>
      </c>
      <c r="R121" s="112" t="s">
        <v>142</v>
      </c>
      <c r="S121" s="112" t="s">
        <v>143</v>
      </c>
      <c r="U121" s="112"/>
      <c r="W121" s="112"/>
      <c r="AC121" s="112"/>
      <c r="AE121" s="112"/>
      <c r="AG121" s="112"/>
    </row>
    <row r="122" spans="8:61" hidden="1" x14ac:dyDescent="0.2">
      <c r="H122">
        <v>22</v>
      </c>
      <c r="I122">
        <v>23</v>
      </c>
      <c r="J122">
        <v>24</v>
      </c>
      <c r="K122">
        <v>25</v>
      </c>
      <c r="L122">
        <v>26</v>
      </c>
      <c r="M122">
        <v>27</v>
      </c>
      <c r="N122">
        <v>28</v>
      </c>
      <c r="O122">
        <v>29</v>
      </c>
      <c r="P122">
        <v>30</v>
      </c>
      <c r="Q122">
        <v>31</v>
      </c>
      <c r="R122">
        <v>32</v>
      </c>
      <c r="S122">
        <v>33</v>
      </c>
    </row>
    <row r="123" spans="8:61" hidden="1" x14ac:dyDescent="0.2"/>
    <row r="124" spans="8:61" hidden="1" x14ac:dyDescent="0.2"/>
    <row r="125" spans="8:61" hidden="1" x14ac:dyDescent="0.2"/>
    <row r="126" spans="8:61" hidden="1" x14ac:dyDescent="0.2"/>
    <row r="127" spans="8:61" hidden="1" x14ac:dyDescent="0.2"/>
  </sheetData>
  <sheetProtection algorithmName="SHA-512" hashValue="DXkXKfqB2BU36if1Uh2e4O5fzMBx5C0k7WMn7jQD6SdT/BUOg8fNbLLaM7miS2POjELp3fC923dVVh9ngw/xqA==" saltValue="wEuUMypNF8IdImgROPjRtQ==" spinCount="100000" sheet="1" objects="1" scenarios="1"/>
  <mergeCells count="312">
    <mergeCell ref="AZ85:BA85"/>
    <mergeCell ref="BB85:BC85"/>
    <mergeCell ref="BF85:BG85"/>
    <mergeCell ref="BH85:BI85"/>
    <mergeCell ref="BJ85:BK85"/>
    <mergeCell ref="BL85:BM85"/>
    <mergeCell ref="AL85:AM85"/>
    <mergeCell ref="AN85:AO85"/>
    <mergeCell ref="AP85:AQ85"/>
    <mergeCell ref="AR85:AS85"/>
    <mergeCell ref="AV85:AW85"/>
    <mergeCell ref="AX85:AY85"/>
    <mergeCell ref="V85:W85"/>
    <mergeCell ref="X85:Y85"/>
    <mergeCell ref="AB85:AC85"/>
    <mergeCell ref="AD85:AE85"/>
    <mergeCell ref="AF85:AG85"/>
    <mergeCell ref="AH85:AI85"/>
    <mergeCell ref="H85:I85"/>
    <mergeCell ref="J85:K85"/>
    <mergeCell ref="L85:M85"/>
    <mergeCell ref="N85:O85"/>
    <mergeCell ref="R85:S85"/>
    <mergeCell ref="T85:U85"/>
    <mergeCell ref="AZ83:BA83"/>
    <mergeCell ref="BB83:BC83"/>
    <mergeCell ref="BF83:BG83"/>
    <mergeCell ref="BH83:BI83"/>
    <mergeCell ref="BJ83:BK83"/>
    <mergeCell ref="BL83:BM83"/>
    <mergeCell ref="AL83:AM83"/>
    <mergeCell ref="AN83:AO83"/>
    <mergeCell ref="AP83:AQ83"/>
    <mergeCell ref="AR83:AS83"/>
    <mergeCell ref="AV83:AW83"/>
    <mergeCell ref="AX83:AY83"/>
    <mergeCell ref="V83:W83"/>
    <mergeCell ref="X83:Y83"/>
    <mergeCell ref="AB83:AC83"/>
    <mergeCell ref="AD83:AE83"/>
    <mergeCell ref="AF83:AG83"/>
    <mergeCell ref="AH83:AI83"/>
    <mergeCell ref="H83:I83"/>
    <mergeCell ref="J83:K83"/>
    <mergeCell ref="L83:M83"/>
    <mergeCell ref="N83:O83"/>
    <mergeCell ref="R83:S83"/>
    <mergeCell ref="T83:U83"/>
    <mergeCell ref="AZ82:BA82"/>
    <mergeCell ref="BB82:BC82"/>
    <mergeCell ref="BF82:BG82"/>
    <mergeCell ref="BH82:BI82"/>
    <mergeCell ref="BJ82:BK82"/>
    <mergeCell ref="BL82:BM82"/>
    <mergeCell ref="AL82:AM82"/>
    <mergeCell ref="AN82:AO82"/>
    <mergeCell ref="AP82:AQ82"/>
    <mergeCell ref="AR82:AS82"/>
    <mergeCell ref="AV82:AW82"/>
    <mergeCell ref="AX82:AY82"/>
    <mergeCell ref="V82:W82"/>
    <mergeCell ref="X82:Y82"/>
    <mergeCell ref="AB82:AC82"/>
    <mergeCell ref="AD82:AE82"/>
    <mergeCell ref="AF82:AG82"/>
    <mergeCell ref="AH82:AI82"/>
    <mergeCell ref="H82:I82"/>
    <mergeCell ref="J82:K82"/>
    <mergeCell ref="L82:M82"/>
    <mergeCell ref="N82:O82"/>
    <mergeCell ref="R82:S82"/>
    <mergeCell ref="T82:U82"/>
    <mergeCell ref="AZ59:BA59"/>
    <mergeCell ref="BB59:BC59"/>
    <mergeCell ref="BF59:BG59"/>
    <mergeCell ref="BH59:BI59"/>
    <mergeCell ref="BJ59:BK59"/>
    <mergeCell ref="BL59:BM59"/>
    <mergeCell ref="AL59:AM59"/>
    <mergeCell ref="AN59:AO59"/>
    <mergeCell ref="AP59:AQ59"/>
    <mergeCell ref="AR59:AS59"/>
    <mergeCell ref="AV59:AW59"/>
    <mergeCell ref="AX59:AY59"/>
    <mergeCell ref="V59:W59"/>
    <mergeCell ref="X59:Y59"/>
    <mergeCell ref="AB59:AC59"/>
    <mergeCell ref="AD59:AE59"/>
    <mergeCell ref="AF59:AG59"/>
    <mergeCell ref="AH59:AI59"/>
    <mergeCell ref="H59:I59"/>
    <mergeCell ref="J59:K59"/>
    <mergeCell ref="L59:M59"/>
    <mergeCell ref="N59:O59"/>
    <mergeCell ref="R59:S59"/>
    <mergeCell ref="T59:U59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BH41:BI41"/>
    <mergeCell ref="BJ41:BK41"/>
    <mergeCell ref="BL41:BM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0:I40"/>
    <mergeCell ref="J40:K40"/>
    <mergeCell ref="L40:M40"/>
    <mergeCell ref="N40:O40"/>
    <mergeCell ref="R40:S40"/>
    <mergeCell ref="T40:U40"/>
    <mergeCell ref="AZ14:BA14"/>
    <mergeCell ref="BB14:BC14"/>
    <mergeCell ref="BF14:BG14"/>
    <mergeCell ref="BH14:BI14"/>
    <mergeCell ref="BJ14:BK14"/>
    <mergeCell ref="BL14:BM14"/>
    <mergeCell ref="AL14:AM14"/>
    <mergeCell ref="AN14:AO14"/>
    <mergeCell ref="AP14:AQ14"/>
    <mergeCell ref="AR14:AS14"/>
    <mergeCell ref="AV14:AW14"/>
    <mergeCell ref="AX14:AY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14:O14"/>
    <mergeCell ref="R14:S14"/>
    <mergeCell ref="T14:U14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3:BA13"/>
    <mergeCell ref="BB13:BC13"/>
    <mergeCell ref="BF13:BG13"/>
    <mergeCell ref="BH13:BI13"/>
    <mergeCell ref="BJ13:BK13"/>
    <mergeCell ref="BL13:BM13"/>
    <mergeCell ref="H98:I98"/>
    <mergeCell ref="J98:K98"/>
    <mergeCell ref="L98:M98"/>
    <mergeCell ref="N98:O98"/>
    <mergeCell ref="R98:S98"/>
    <mergeCell ref="T98:U98"/>
    <mergeCell ref="V98:W98"/>
    <mergeCell ref="X98:Y98"/>
    <mergeCell ref="AB98:AC98"/>
    <mergeCell ref="AD98:AE98"/>
    <mergeCell ref="AF98:AG98"/>
    <mergeCell ref="AH98:AI98"/>
    <mergeCell ref="AL98:AM98"/>
    <mergeCell ref="AN98:AO98"/>
    <mergeCell ref="AP98:AQ98"/>
    <mergeCell ref="AR98:AS98"/>
    <mergeCell ref="AV98:AW98"/>
    <mergeCell ref="AX98:AY98"/>
    <mergeCell ref="AZ98:BA98"/>
    <mergeCell ref="BB98:BC98"/>
    <mergeCell ref="BF98:BG98"/>
    <mergeCell ref="BH98:BI98"/>
    <mergeCell ref="BJ98:BK98"/>
    <mergeCell ref="BL98:BM98"/>
    <mergeCell ref="H99:I99"/>
    <mergeCell ref="J99:K99"/>
    <mergeCell ref="L99:M99"/>
    <mergeCell ref="N99:O99"/>
    <mergeCell ref="R99:S99"/>
    <mergeCell ref="T99:U99"/>
    <mergeCell ref="V99:W99"/>
    <mergeCell ref="X99:Y99"/>
    <mergeCell ref="AB99:AC99"/>
    <mergeCell ref="AD99:AE99"/>
    <mergeCell ref="AF99:AG99"/>
    <mergeCell ref="AH99:AI99"/>
    <mergeCell ref="AL99:AM99"/>
    <mergeCell ref="AN99:AO99"/>
    <mergeCell ref="AP99:AQ99"/>
    <mergeCell ref="AR99:AS99"/>
    <mergeCell ref="AV99:AW99"/>
    <mergeCell ref="AX99:AY99"/>
    <mergeCell ref="AZ99:BA99"/>
    <mergeCell ref="BB99:BC99"/>
    <mergeCell ref="BF99:BG99"/>
    <mergeCell ref="BH99:BI99"/>
    <mergeCell ref="BJ99:BK99"/>
    <mergeCell ref="BL99:BM99"/>
    <mergeCell ref="H110:I110"/>
    <mergeCell ref="J110:K110"/>
    <mergeCell ref="L110:M110"/>
    <mergeCell ref="N110:O110"/>
    <mergeCell ref="R110:S110"/>
    <mergeCell ref="T110:U110"/>
    <mergeCell ref="V110:W110"/>
    <mergeCell ref="X110:Y110"/>
    <mergeCell ref="AB110:AC110"/>
    <mergeCell ref="AD110:AE110"/>
    <mergeCell ref="AF110:AG110"/>
    <mergeCell ref="AH110:AI110"/>
    <mergeCell ref="AL110:AM110"/>
    <mergeCell ref="AN110:AO110"/>
    <mergeCell ref="AP110:AQ110"/>
    <mergeCell ref="AR110:AS110"/>
    <mergeCell ref="AV110:AW110"/>
    <mergeCell ref="AX110:AY110"/>
    <mergeCell ref="AD111:AE111"/>
    <mergeCell ref="AF111:AG111"/>
    <mergeCell ref="AH111:AI111"/>
    <mergeCell ref="AL111:AM111"/>
    <mergeCell ref="AN111:AO111"/>
    <mergeCell ref="AP111:AQ111"/>
    <mergeCell ref="AR111:AS111"/>
    <mergeCell ref="AV111:AW111"/>
    <mergeCell ref="AX111:AY111"/>
    <mergeCell ref="H111:I111"/>
    <mergeCell ref="J111:K111"/>
    <mergeCell ref="L111:M111"/>
    <mergeCell ref="N111:O111"/>
    <mergeCell ref="R111:S111"/>
    <mergeCell ref="T111:U111"/>
    <mergeCell ref="V111:W111"/>
    <mergeCell ref="X111:Y111"/>
    <mergeCell ref="AB111:AC111"/>
    <mergeCell ref="AZ111:BA111"/>
    <mergeCell ref="BB111:BC111"/>
    <mergeCell ref="BF111:BG111"/>
    <mergeCell ref="BH111:BI111"/>
    <mergeCell ref="BJ111:BK111"/>
    <mergeCell ref="BL111:BM111"/>
    <mergeCell ref="AZ110:BA110"/>
    <mergeCell ref="BB110:BC110"/>
    <mergeCell ref="BF110:BG110"/>
    <mergeCell ref="BH110:BI110"/>
    <mergeCell ref="BJ110:BK110"/>
    <mergeCell ref="BL110:BM110"/>
  </mergeCells>
  <pageMargins left="0.7" right="0.7" top="0.75" bottom="0.75" header="0.3" footer="0.3"/>
  <ignoredErrors>
    <ignoredError sqref="AF33:AF37 AH33:AH36 AZ33:BA36 AH21:AH23 AF21:AF23 AZ27:BA31 AH25:AH31 AF25:AF31" formula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BCBF0-94D8-4E9C-8A33-93AB009A6745}">
  <dimension ref="B3:BW258"/>
  <sheetViews>
    <sheetView showRowColHeaders="0" zoomScaleNormal="100" workbookViewId="0">
      <selection activeCell="K290" sqref="K290"/>
    </sheetView>
  </sheetViews>
  <sheetFormatPr baseColWidth="10" defaultRowHeight="12.75" x14ac:dyDescent="0.2"/>
  <cols>
    <col min="8" max="15" width="7.7109375" customWidth="1"/>
    <col min="18" max="25" width="7.7109375" customWidth="1"/>
    <col min="28" max="35" width="7.7109375" customWidth="1"/>
    <col min="38" max="45" width="7.7109375" customWidth="1"/>
    <col min="48" max="55" width="7.7109375" customWidth="1"/>
    <col min="58" max="65" width="7.7109375" customWidth="1"/>
  </cols>
  <sheetData>
    <row r="3" spans="7:75" hidden="1" x14ac:dyDescent="0.2"/>
    <row r="4" spans="7:75" hidden="1" x14ac:dyDescent="0.2"/>
    <row r="5" spans="7:75" hidden="1" x14ac:dyDescent="0.2"/>
    <row r="6" spans="7:75" hidden="1" x14ac:dyDescent="0.2"/>
    <row r="7" spans="7:75" hidden="1" x14ac:dyDescent="0.2"/>
    <row r="8" spans="7:75" hidden="1" x14ac:dyDescent="0.2"/>
    <row r="9" spans="7:75" hidden="1" x14ac:dyDescent="0.2"/>
    <row r="10" spans="7:75" ht="19.5" hidden="1" x14ac:dyDescent="0.35">
      <c r="K10" s="110">
        <v>12</v>
      </c>
      <c r="L10" s="110" t="s">
        <v>96</v>
      </c>
      <c r="U10" s="110">
        <v>12</v>
      </c>
      <c r="V10" s="110" t="s">
        <v>97</v>
      </c>
      <c r="AE10" s="110">
        <v>15</v>
      </c>
      <c r="AF10" s="110" t="s">
        <v>96</v>
      </c>
      <c r="AO10" s="110">
        <v>15</v>
      </c>
      <c r="AP10" s="110" t="s">
        <v>97</v>
      </c>
      <c r="AY10" s="110">
        <v>20</v>
      </c>
      <c r="AZ10" s="110" t="s">
        <v>96</v>
      </c>
      <c r="BI10" s="110">
        <v>20</v>
      </c>
      <c r="BJ10" s="110" t="s">
        <v>97</v>
      </c>
    </row>
    <row r="11" spans="7:75" hidden="1" x14ac:dyDescent="0.2">
      <c r="K11" s="111" t="s">
        <v>78</v>
      </c>
      <c r="U11" s="111" t="s">
        <v>99</v>
      </c>
      <c r="AE11" s="111" t="s">
        <v>84</v>
      </c>
      <c r="AO11" s="111" t="s">
        <v>100</v>
      </c>
      <c r="AY11" s="111" t="s">
        <v>84</v>
      </c>
      <c r="BI11" s="111" t="s">
        <v>78</v>
      </c>
    </row>
    <row r="12" spans="7:75" hidden="1" x14ac:dyDescent="0.2">
      <c r="H12">
        <v>137</v>
      </c>
      <c r="R12">
        <v>137</v>
      </c>
      <c r="T12">
        <v>137</v>
      </c>
      <c r="AB12">
        <v>158</v>
      </c>
      <c r="AD12">
        <v>179</v>
      </c>
      <c r="AF12">
        <v>189</v>
      </c>
      <c r="AH12">
        <v>189</v>
      </c>
      <c r="AL12">
        <v>158</v>
      </c>
      <c r="AN12">
        <v>179</v>
      </c>
      <c r="AP12">
        <v>189</v>
      </c>
      <c r="AR12">
        <v>189</v>
      </c>
      <c r="AV12">
        <v>189</v>
      </c>
      <c r="AX12">
        <v>189</v>
      </c>
      <c r="AZ12">
        <v>189</v>
      </c>
      <c r="BB12">
        <v>189</v>
      </c>
      <c r="BF12">
        <v>189</v>
      </c>
      <c r="BH12">
        <v>189</v>
      </c>
      <c r="BJ12">
        <v>189</v>
      </c>
      <c r="BL12">
        <v>189</v>
      </c>
    </row>
    <row r="13" spans="7:75" hidden="1" x14ac:dyDescent="0.2">
      <c r="H13" s="141" t="s">
        <v>112</v>
      </c>
      <c r="I13" s="141"/>
      <c r="J13" s="141" t="s">
        <v>113</v>
      </c>
      <c r="K13" s="141"/>
      <c r="L13" s="141" t="s">
        <v>114</v>
      </c>
      <c r="M13" s="141"/>
      <c r="N13" s="141" t="s">
        <v>115</v>
      </c>
      <c r="O13" s="141"/>
      <c r="R13" s="141" t="s">
        <v>112</v>
      </c>
      <c r="S13" s="141"/>
      <c r="T13" s="141" t="s">
        <v>113</v>
      </c>
      <c r="U13" s="141"/>
      <c r="V13" s="141" t="s">
        <v>114</v>
      </c>
      <c r="W13" s="141"/>
      <c r="X13" s="141" t="s">
        <v>115</v>
      </c>
      <c r="Y13" s="141"/>
      <c r="AB13" s="141" t="s">
        <v>116</v>
      </c>
      <c r="AC13" s="141"/>
      <c r="AD13" s="141" t="s">
        <v>117</v>
      </c>
      <c r="AE13" s="141"/>
      <c r="AF13" s="141" t="s">
        <v>118</v>
      </c>
      <c r="AG13" s="141"/>
      <c r="AH13" s="141" t="s">
        <v>119</v>
      </c>
      <c r="AI13" s="141"/>
      <c r="AL13" s="141" t="s">
        <v>116</v>
      </c>
      <c r="AM13" s="141"/>
      <c r="AN13" s="141" t="s">
        <v>117</v>
      </c>
      <c r="AO13" s="141"/>
      <c r="AP13" s="141" t="s">
        <v>118</v>
      </c>
      <c r="AQ13" s="141"/>
      <c r="AR13" s="141" t="s">
        <v>119</v>
      </c>
      <c r="AS13" s="141"/>
      <c r="AV13" s="141" t="s">
        <v>120</v>
      </c>
      <c r="AW13" s="141"/>
      <c r="AX13" s="141" t="s">
        <v>121</v>
      </c>
      <c r="AY13" s="141"/>
      <c r="AZ13" s="141" t="s">
        <v>122</v>
      </c>
      <c r="BA13" s="141"/>
      <c r="BB13" s="141" t="s">
        <v>123</v>
      </c>
      <c r="BC13" s="141"/>
      <c r="BF13" s="141" t="s">
        <v>120</v>
      </c>
      <c r="BG13" s="141"/>
      <c r="BH13" s="141" t="s">
        <v>121</v>
      </c>
      <c r="BI13" s="141"/>
      <c r="BJ13" s="141" t="s">
        <v>122</v>
      </c>
      <c r="BK13" s="141"/>
      <c r="BL13" s="141" t="s">
        <v>123</v>
      </c>
      <c r="BM13" s="141"/>
    </row>
    <row r="14" spans="7:75" hidden="1" x14ac:dyDescent="0.2">
      <c r="H14" s="141">
        <v>5</v>
      </c>
      <c r="I14" s="141"/>
      <c r="J14" s="141">
        <v>6</v>
      </c>
      <c r="K14" s="141"/>
      <c r="L14" s="141">
        <v>7</v>
      </c>
      <c r="M14" s="141"/>
      <c r="N14" s="141">
        <v>8</v>
      </c>
      <c r="O14" s="141"/>
      <c r="R14" s="141">
        <v>5</v>
      </c>
      <c r="S14" s="141"/>
      <c r="T14" s="141">
        <v>6</v>
      </c>
      <c r="U14" s="141"/>
      <c r="V14" s="141">
        <v>7</v>
      </c>
      <c r="W14" s="141"/>
      <c r="X14" s="141">
        <v>8</v>
      </c>
      <c r="Y14" s="141"/>
      <c r="AB14" s="141">
        <v>5</v>
      </c>
      <c r="AC14" s="141"/>
      <c r="AD14" s="141">
        <v>6</v>
      </c>
      <c r="AE14" s="141"/>
      <c r="AF14" s="141">
        <v>7</v>
      </c>
      <c r="AG14" s="141"/>
      <c r="AH14" s="141">
        <v>8</v>
      </c>
      <c r="AI14" s="141"/>
      <c r="AL14" s="141">
        <v>5</v>
      </c>
      <c r="AM14" s="141"/>
      <c r="AN14" s="141">
        <v>6</v>
      </c>
      <c r="AO14" s="141"/>
      <c r="AP14" s="141">
        <v>7</v>
      </c>
      <c r="AQ14" s="141"/>
      <c r="AR14" s="141">
        <v>8</v>
      </c>
      <c r="AS14" s="141"/>
      <c r="AV14" s="141">
        <v>5</v>
      </c>
      <c r="AW14" s="141"/>
      <c r="AX14" s="141">
        <v>6</v>
      </c>
      <c r="AY14" s="141"/>
      <c r="AZ14" s="141">
        <v>7</v>
      </c>
      <c r="BA14" s="141"/>
      <c r="BB14" s="141">
        <v>8</v>
      </c>
      <c r="BC14" s="141"/>
      <c r="BF14" s="141">
        <v>5</v>
      </c>
      <c r="BG14" s="141"/>
      <c r="BH14" s="141">
        <v>6</v>
      </c>
      <c r="BI14" s="141"/>
      <c r="BJ14" s="141">
        <v>7</v>
      </c>
      <c r="BK14" s="141"/>
      <c r="BL14" s="141">
        <v>8</v>
      </c>
      <c r="BM14" s="141"/>
      <c r="BP14" s="142"/>
      <c r="BQ14" s="142"/>
      <c r="BR14" s="142"/>
      <c r="BS14" s="142"/>
      <c r="BT14" s="142"/>
      <c r="BU14" s="142"/>
      <c r="BV14" s="142"/>
      <c r="BW14" s="142"/>
    </row>
    <row r="15" spans="7:75" hidden="1" x14ac:dyDescent="0.2">
      <c r="H15" s="112" t="s">
        <v>24</v>
      </c>
      <c r="I15" s="112" t="s">
        <v>25</v>
      </c>
      <c r="J15" s="112" t="s">
        <v>24</v>
      </c>
      <c r="K15" s="112" t="s">
        <v>25</v>
      </c>
      <c r="L15" s="112" t="s">
        <v>24</v>
      </c>
      <c r="M15" s="112" t="s">
        <v>25</v>
      </c>
      <c r="N15" s="112" t="s">
        <v>24</v>
      </c>
      <c r="O15" s="112" t="s">
        <v>25</v>
      </c>
      <c r="R15" s="112" t="s">
        <v>24</v>
      </c>
      <c r="S15" s="112" t="s">
        <v>25</v>
      </c>
      <c r="T15" s="112" t="s">
        <v>24</v>
      </c>
      <c r="U15" s="112" t="s">
        <v>25</v>
      </c>
      <c r="V15" s="112" t="s">
        <v>24</v>
      </c>
      <c r="W15" s="112" t="s">
        <v>25</v>
      </c>
      <c r="X15" s="112" t="s">
        <v>24</v>
      </c>
      <c r="Y15" s="112" t="s">
        <v>25</v>
      </c>
      <c r="AB15" s="112" t="s">
        <v>24</v>
      </c>
      <c r="AC15" s="112" t="s">
        <v>25</v>
      </c>
      <c r="AD15" s="112" t="s">
        <v>24</v>
      </c>
      <c r="AE15" s="112" t="s">
        <v>25</v>
      </c>
      <c r="AF15" s="112" t="s">
        <v>24</v>
      </c>
      <c r="AG15" s="112" t="s">
        <v>25</v>
      </c>
      <c r="AH15" s="112" t="s">
        <v>24</v>
      </c>
      <c r="AI15" s="112" t="s">
        <v>25</v>
      </c>
      <c r="AL15" s="112" t="s">
        <v>24</v>
      </c>
      <c r="AM15" s="112" t="s">
        <v>25</v>
      </c>
      <c r="AN15" s="112" t="s">
        <v>24</v>
      </c>
      <c r="AO15" s="112" t="s">
        <v>25</v>
      </c>
      <c r="AP15" s="112" t="s">
        <v>24</v>
      </c>
      <c r="AQ15" s="112" t="s">
        <v>25</v>
      </c>
      <c r="AR15" s="112" t="s">
        <v>24</v>
      </c>
      <c r="AS15" s="112" t="s">
        <v>25</v>
      </c>
      <c r="AV15" s="112" t="s">
        <v>24</v>
      </c>
      <c r="AW15" s="112" t="s">
        <v>25</v>
      </c>
      <c r="AX15" s="112" t="s">
        <v>24</v>
      </c>
      <c r="AY15" s="112" t="s">
        <v>25</v>
      </c>
      <c r="AZ15" s="112" t="s">
        <v>24</v>
      </c>
      <c r="BA15" s="112" t="s">
        <v>25</v>
      </c>
      <c r="BB15" s="112" t="s">
        <v>24</v>
      </c>
      <c r="BC15" s="112" t="s">
        <v>25</v>
      </c>
      <c r="BF15" s="112" t="s">
        <v>24</v>
      </c>
      <c r="BG15" s="112" t="s">
        <v>25</v>
      </c>
      <c r="BH15" s="112" t="s">
        <v>24</v>
      </c>
      <c r="BI15" s="112" t="s">
        <v>25</v>
      </c>
      <c r="BJ15" s="112" t="s">
        <v>24</v>
      </c>
      <c r="BK15" s="112" t="s">
        <v>25</v>
      </c>
      <c r="BL15" s="112" t="s">
        <v>24</v>
      </c>
      <c r="BM15" s="112" t="s">
        <v>25</v>
      </c>
    </row>
    <row r="16" spans="7:75" hidden="1" x14ac:dyDescent="0.2">
      <c r="G16" t="s">
        <v>166</v>
      </c>
      <c r="H16">
        <v>6.2</v>
      </c>
      <c r="I16">
        <v>6.6</v>
      </c>
      <c r="J16">
        <v>6.35</v>
      </c>
      <c r="K16">
        <v>6.8</v>
      </c>
      <c r="L16">
        <v>6.5</v>
      </c>
      <c r="M16">
        <v>7</v>
      </c>
      <c r="N16">
        <v>6.7</v>
      </c>
      <c r="O16">
        <v>7.2</v>
      </c>
      <c r="Q16" t="s">
        <v>166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A16" t="s">
        <v>166</v>
      </c>
      <c r="AB16">
        <v>7.05</v>
      </c>
      <c r="AC16">
        <v>7.6</v>
      </c>
      <c r="AD16">
        <v>7</v>
      </c>
      <c r="AE16">
        <v>7.6</v>
      </c>
      <c r="AF16">
        <v>7.55</v>
      </c>
      <c r="AG16">
        <v>8.1</v>
      </c>
      <c r="AH16">
        <v>7.65</v>
      </c>
      <c r="AI16">
        <v>8.3000000000000007</v>
      </c>
      <c r="AK16" t="s">
        <v>166</v>
      </c>
      <c r="AL16">
        <v>6.8</v>
      </c>
      <c r="AM16">
        <v>7.6</v>
      </c>
      <c r="AN16">
        <v>7</v>
      </c>
      <c r="AO16">
        <v>7.6</v>
      </c>
      <c r="AP16">
        <v>7.2</v>
      </c>
      <c r="AQ16">
        <v>7.9</v>
      </c>
      <c r="AR16">
        <v>7.5</v>
      </c>
      <c r="AS16">
        <v>8.1999999999999993</v>
      </c>
      <c r="AU16" t="s">
        <v>166</v>
      </c>
      <c r="AV16">
        <v>8.25</v>
      </c>
      <c r="AW16">
        <v>8.9</v>
      </c>
      <c r="AX16">
        <v>8.35</v>
      </c>
      <c r="AY16">
        <v>9</v>
      </c>
      <c r="AZ16">
        <v>8.4499999999999993</v>
      </c>
      <c r="BA16">
        <v>9</v>
      </c>
      <c r="BB16">
        <v>8.5500000000000007</v>
      </c>
      <c r="BC16">
        <v>9</v>
      </c>
      <c r="BE16" t="s">
        <v>166</v>
      </c>
      <c r="BF16">
        <v>7.8</v>
      </c>
      <c r="BG16">
        <v>8.6</v>
      </c>
      <c r="BH16">
        <v>7.8</v>
      </c>
      <c r="BI16">
        <v>8.6</v>
      </c>
      <c r="BJ16">
        <v>7.8</v>
      </c>
      <c r="BK16">
        <v>8.6</v>
      </c>
      <c r="BL16">
        <v>7.8</v>
      </c>
      <c r="BM16">
        <v>8.6</v>
      </c>
    </row>
    <row r="17" spans="7:65" hidden="1" x14ac:dyDescent="0.2">
      <c r="G17" t="s">
        <v>34</v>
      </c>
      <c r="H17">
        <v>5.75</v>
      </c>
      <c r="I17">
        <v>6.15</v>
      </c>
      <c r="J17">
        <v>5.95</v>
      </c>
      <c r="K17">
        <v>6.35</v>
      </c>
      <c r="L17">
        <v>6.15</v>
      </c>
      <c r="M17">
        <v>6.55</v>
      </c>
      <c r="N17">
        <v>6.3</v>
      </c>
      <c r="O17">
        <v>6.75</v>
      </c>
      <c r="Q17" t="s">
        <v>34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A17" t="s">
        <v>34</v>
      </c>
      <c r="AB17">
        <v>6.65</v>
      </c>
      <c r="AC17">
        <v>7.15</v>
      </c>
      <c r="AD17">
        <v>7</v>
      </c>
      <c r="AE17">
        <v>7.6</v>
      </c>
      <c r="AF17">
        <v>7.14</v>
      </c>
      <c r="AG17">
        <v>7.7</v>
      </c>
      <c r="AH17">
        <v>7.25</v>
      </c>
      <c r="AI17">
        <v>7.9</v>
      </c>
      <c r="AK17" t="s">
        <v>34</v>
      </c>
      <c r="AL17">
        <v>6.6</v>
      </c>
      <c r="AM17">
        <v>7.15</v>
      </c>
      <c r="AN17">
        <v>6.8</v>
      </c>
      <c r="AO17">
        <v>7.5</v>
      </c>
      <c r="AP17">
        <v>6.8</v>
      </c>
      <c r="AQ17">
        <v>7.5</v>
      </c>
      <c r="AR17">
        <v>6.9</v>
      </c>
      <c r="AS17">
        <f>0.1+AQ17</f>
        <v>7.6</v>
      </c>
      <c r="AU17" t="s">
        <v>34</v>
      </c>
      <c r="AV17">
        <v>7.8</v>
      </c>
      <c r="AW17">
        <v>8.5</v>
      </c>
      <c r="AX17">
        <v>8</v>
      </c>
      <c r="AY17">
        <v>8.6999999999999993</v>
      </c>
      <c r="AZ17">
        <v>8.0500000000000007</v>
      </c>
      <c r="BA17">
        <v>8.8000000000000007</v>
      </c>
      <c r="BB17">
        <v>8.1999999999999993</v>
      </c>
      <c r="BC17">
        <v>8.9</v>
      </c>
      <c r="BE17" t="s">
        <v>34</v>
      </c>
      <c r="BF17">
        <v>7.3</v>
      </c>
      <c r="BG17">
        <v>8.1</v>
      </c>
      <c r="BH17">
        <f>0.1+BF17</f>
        <v>7.3999999999999995</v>
      </c>
      <c r="BI17">
        <v>8.1</v>
      </c>
      <c r="BJ17">
        <f>0.1+BH17</f>
        <v>7.4999999999999991</v>
      </c>
      <c r="BK17">
        <v>8.1</v>
      </c>
      <c r="BL17">
        <v>7.4</v>
      </c>
      <c r="BM17">
        <v>8.1999999999999993</v>
      </c>
    </row>
    <row r="18" spans="7:65" hidden="1" x14ac:dyDescent="0.2">
      <c r="G18" t="s">
        <v>35</v>
      </c>
      <c r="H18">
        <v>5.5</v>
      </c>
      <c r="I18">
        <v>5.5</v>
      </c>
      <c r="J18">
        <v>5.65</v>
      </c>
      <c r="K18">
        <v>5.75</v>
      </c>
      <c r="L18">
        <v>5.85</v>
      </c>
      <c r="M18">
        <v>5.95</v>
      </c>
      <c r="N18">
        <v>6.05</v>
      </c>
      <c r="O18">
        <v>6.2</v>
      </c>
      <c r="Q18" t="s">
        <v>35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A18" t="s">
        <v>35</v>
      </c>
      <c r="AB18">
        <v>6.3</v>
      </c>
      <c r="AC18">
        <v>6.85</v>
      </c>
      <c r="AD18">
        <v>6.65</v>
      </c>
      <c r="AE18">
        <v>7.25</v>
      </c>
      <c r="AF18">
        <v>6.8</v>
      </c>
      <c r="AG18">
        <v>7.4</v>
      </c>
      <c r="AH18">
        <v>6.95</v>
      </c>
      <c r="AI18">
        <v>7.55</v>
      </c>
      <c r="AK18" t="s">
        <v>35</v>
      </c>
      <c r="AL18">
        <v>6.2</v>
      </c>
      <c r="AM18">
        <v>6.7</v>
      </c>
      <c r="AN18">
        <v>6.4</v>
      </c>
      <c r="AO18">
        <v>7.1</v>
      </c>
      <c r="AP18">
        <v>6.4</v>
      </c>
      <c r="AQ18">
        <v>7.1</v>
      </c>
      <c r="AR18">
        <v>6.5</v>
      </c>
      <c r="AS18">
        <f t="shared" ref="AS18:AS39" si="0">0.1+AQ18</f>
        <v>7.1999999999999993</v>
      </c>
      <c r="AU18" t="s">
        <v>35</v>
      </c>
      <c r="AV18">
        <v>7.45</v>
      </c>
      <c r="AW18">
        <v>8.1</v>
      </c>
      <c r="AX18">
        <v>7.65</v>
      </c>
      <c r="AY18">
        <v>8.35</v>
      </c>
      <c r="AZ18">
        <v>7.7</v>
      </c>
      <c r="BA18">
        <v>8.4499999999999993</v>
      </c>
      <c r="BB18">
        <v>7.85</v>
      </c>
      <c r="BC18">
        <v>8.6</v>
      </c>
      <c r="BE18" t="s">
        <v>35</v>
      </c>
      <c r="BF18">
        <v>7</v>
      </c>
      <c r="BG18">
        <v>7.7</v>
      </c>
      <c r="BH18">
        <f t="shared" ref="BH18:BJ18" si="1">0.1+BF18</f>
        <v>7.1</v>
      </c>
      <c r="BI18">
        <v>7.7</v>
      </c>
      <c r="BJ18">
        <f t="shared" si="1"/>
        <v>7.1999999999999993</v>
      </c>
      <c r="BK18">
        <v>7.8</v>
      </c>
      <c r="BL18">
        <v>7.1</v>
      </c>
      <c r="BM18">
        <v>7.8</v>
      </c>
    </row>
    <row r="19" spans="7:65" hidden="1" x14ac:dyDescent="0.2">
      <c r="G19" t="s">
        <v>36</v>
      </c>
      <c r="H19">
        <v>5.25</v>
      </c>
      <c r="I19">
        <v>5.65</v>
      </c>
      <c r="J19">
        <v>5.4</v>
      </c>
      <c r="K19">
        <v>5.85</v>
      </c>
      <c r="L19">
        <v>5.6</v>
      </c>
      <c r="M19">
        <v>6.1</v>
      </c>
      <c r="N19">
        <v>5.8</v>
      </c>
      <c r="O19">
        <v>6.3</v>
      </c>
      <c r="Q19" t="s">
        <v>36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A19" t="s">
        <v>36</v>
      </c>
      <c r="AB19">
        <v>6</v>
      </c>
      <c r="AC19">
        <v>6.55</v>
      </c>
      <c r="AD19">
        <v>6.4</v>
      </c>
      <c r="AE19">
        <v>6.95</v>
      </c>
      <c r="AF19">
        <v>6.5</v>
      </c>
      <c r="AG19">
        <v>7.1</v>
      </c>
      <c r="AH19">
        <v>6.65</v>
      </c>
      <c r="AI19">
        <v>7.3</v>
      </c>
      <c r="AK19" t="s">
        <v>36</v>
      </c>
      <c r="AL19">
        <v>5.8</v>
      </c>
      <c r="AM19">
        <v>6.4</v>
      </c>
      <c r="AN19">
        <v>6.1</v>
      </c>
      <c r="AO19">
        <v>6.7</v>
      </c>
      <c r="AP19">
        <v>6.2</v>
      </c>
      <c r="AQ19">
        <v>6.8</v>
      </c>
      <c r="AR19">
        <v>6.3</v>
      </c>
      <c r="AS19">
        <f t="shared" si="0"/>
        <v>6.8999999999999995</v>
      </c>
      <c r="AU19" t="s">
        <v>36</v>
      </c>
      <c r="AV19">
        <v>7.15</v>
      </c>
      <c r="AW19">
        <v>7.8</v>
      </c>
      <c r="AX19">
        <v>7.35</v>
      </c>
      <c r="AY19">
        <v>8.0500000000000007</v>
      </c>
      <c r="AZ19">
        <v>7.45</v>
      </c>
      <c r="BA19">
        <v>8.15</v>
      </c>
      <c r="BB19">
        <v>7.55</v>
      </c>
      <c r="BC19">
        <v>8.3000000000000007</v>
      </c>
      <c r="BE19" t="s">
        <v>36</v>
      </c>
      <c r="BF19">
        <v>6.6</v>
      </c>
      <c r="BG19">
        <v>7.3</v>
      </c>
      <c r="BH19">
        <v>6.6</v>
      </c>
      <c r="BI19">
        <v>7.3</v>
      </c>
      <c r="BJ19">
        <v>6.6</v>
      </c>
      <c r="BK19">
        <v>7.4</v>
      </c>
      <c r="BL19">
        <v>6.8</v>
      </c>
      <c r="BM19">
        <v>7.4</v>
      </c>
    </row>
    <row r="20" spans="7:65" hidden="1" x14ac:dyDescent="0.2">
      <c r="G20" t="s">
        <v>37</v>
      </c>
      <c r="H20">
        <v>5</v>
      </c>
      <c r="I20">
        <v>5.15</v>
      </c>
      <c r="J20">
        <v>5.2</v>
      </c>
      <c r="K20">
        <v>5.4</v>
      </c>
      <c r="L20">
        <v>5.4</v>
      </c>
      <c r="M20">
        <v>5.6</v>
      </c>
      <c r="N20">
        <v>5.55</v>
      </c>
      <c r="O20">
        <v>5.85</v>
      </c>
      <c r="Q20" t="s">
        <v>37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A20" t="s">
        <v>37</v>
      </c>
      <c r="AB20">
        <v>5.8</v>
      </c>
      <c r="AC20">
        <v>6.3</v>
      </c>
      <c r="AD20">
        <v>6.15</v>
      </c>
      <c r="AE20">
        <v>6.7</v>
      </c>
      <c r="AF20">
        <v>6.25</v>
      </c>
      <c r="AG20">
        <v>6.85</v>
      </c>
      <c r="AH20">
        <v>6.4</v>
      </c>
      <c r="AI20">
        <v>7.05</v>
      </c>
      <c r="AK20" t="s">
        <v>37</v>
      </c>
      <c r="AL20">
        <v>5.5</v>
      </c>
      <c r="AM20">
        <v>6.1</v>
      </c>
      <c r="AN20">
        <v>5.8</v>
      </c>
      <c r="AO20">
        <v>6.4</v>
      </c>
      <c r="AP20">
        <v>5.9</v>
      </c>
      <c r="AQ20">
        <v>6.5</v>
      </c>
      <c r="AR20">
        <v>5.9</v>
      </c>
      <c r="AS20">
        <f t="shared" si="0"/>
        <v>6.6</v>
      </c>
      <c r="AU20" t="s">
        <v>37</v>
      </c>
      <c r="AV20">
        <v>6.9</v>
      </c>
      <c r="AW20">
        <v>7.55</v>
      </c>
      <c r="AX20">
        <v>7.05</v>
      </c>
      <c r="AY20">
        <v>7.8</v>
      </c>
      <c r="AZ20">
        <v>7.2</v>
      </c>
      <c r="BA20">
        <v>7.9</v>
      </c>
      <c r="BB20">
        <v>7.3</v>
      </c>
      <c r="BC20">
        <v>8.0500000000000007</v>
      </c>
      <c r="BE20" t="s">
        <v>37</v>
      </c>
      <c r="BF20">
        <v>6.4</v>
      </c>
      <c r="BG20">
        <v>7</v>
      </c>
      <c r="BH20">
        <v>6.4</v>
      </c>
      <c r="BI20">
        <v>7</v>
      </c>
      <c r="BJ20">
        <v>6.4</v>
      </c>
      <c r="BK20">
        <v>7.1</v>
      </c>
      <c r="BL20">
        <v>6.5</v>
      </c>
      <c r="BM20">
        <v>7.1</v>
      </c>
    </row>
    <row r="21" spans="7:65" hidden="1" x14ac:dyDescent="0.2">
      <c r="G21" t="s">
        <v>80</v>
      </c>
      <c r="H21">
        <v>4.6500000000000004</v>
      </c>
      <c r="I21">
        <v>4.6500000000000004</v>
      </c>
      <c r="J21">
        <v>5</v>
      </c>
      <c r="K21">
        <v>5</v>
      </c>
      <c r="L21">
        <v>5.2</v>
      </c>
      <c r="M21">
        <v>5.2</v>
      </c>
      <c r="N21">
        <v>5.4</v>
      </c>
      <c r="O21">
        <v>5.4</v>
      </c>
      <c r="Q21" t="s">
        <v>80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A21" t="s">
        <v>80</v>
      </c>
      <c r="AB21">
        <v>5.5</v>
      </c>
      <c r="AC21">
        <v>6</v>
      </c>
      <c r="AD21">
        <v>5.8</v>
      </c>
      <c r="AE21">
        <v>6.25</v>
      </c>
      <c r="AF21">
        <v>5.95</v>
      </c>
      <c r="AG21">
        <v>6.55</v>
      </c>
      <c r="AH21">
        <v>6.1</v>
      </c>
      <c r="AI21">
        <v>6.7</v>
      </c>
      <c r="AK21" t="s">
        <v>80</v>
      </c>
      <c r="AL21">
        <v>5.3</v>
      </c>
      <c r="AM21">
        <v>5.8</v>
      </c>
      <c r="AN21">
        <v>5.7</v>
      </c>
      <c r="AO21">
        <v>6.1</v>
      </c>
      <c r="AP21">
        <v>5.8</v>
      </c>
      <c r="AQ21">
        <v>6.2</v>
      </c>
      <c r="AR21">
        <v>5.7</v>
      </c>
      <c r="AS21">
        <f t="shared" si="0"/>
        <v>6.3</v>
      </c>
      <c r="AU21" t="s">
        <v>80</v>
      </c>
      <c r="AV21">
        <v>6.7</v>
      </c>
      <c r="AW21">
        <v>7.15</v>
      </c>
      <c r="AX21">
        <v>6.65</v>
      </c>
      <c r="AY21">
        <v>7.65</v>
      </c>
      <c r="AZ21">
        <v>6.9</v>
      </c>
      <c r="BA21">
        <v>7.55</v>
      </c>
      <c r="BB21">
        <v>7</v>
      </c>
      <c r="BC21">
        <v>7.95</v>
      </c>
      <c r="BE21" t="s">
        <v>80</v>
      </c>
      <c r="BF21">
        <v>6.1</v>
      </c>
      <c r="BG21">
        <v>6.7</v>
      </c>
      <c r="BH21">
        <v>6.1</v>
      </c>
      <c r="BI21">
        <v>6.7</v>
      </c>
      <c r="BJ21">
        <v>6.1</v>
      </c>
      <c r="BK21">
        <v>6.8</v>
      </c>
      <c r="BL21">
        <v>6.2</v>
      </c>
      <c r="BM21">
        <v>6.8</v>
      </c>
    </row>
    <row r="22" spans="7:65" hidden="1" x14ac:dyDescent="0.2">
      <c r="G22" t="s">
        <v>38</v>
      </c>
      <c r="H22">
        <v>4.1500000000000004</v>
      </c>
      <c r="I22">
        <v>4.1500000000000004</v>
      </c>
      <c r="J22">
        <v>4.3499999999999996</v>
      </c>
      <c r="K22">
        <v>4.3499999999999996</v>
      </c>
      <c r="L22">
        <v>4.55</v>
      </c>
      <c r="M22">
        <v>4.55</v>
      </c>
      <c r="N22">
        <v>4.75</v>
      </c>
      <c r="O22">
        <v>4.75</v>
      </c>
      <c r="Q22" t="s">
        <v>38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A22" t="s">
        <v>38</v>
      </c>
      <c r="AB22">
        <v>5.25</v>
      </c>
      <c r="AC22">
        <v>5.75</v>
      </c>
      <c r="AD22">
        <v>5.6</v>
      </c>
      <c r="AE22">
        <v>6.05</v>
      </c>
      <c r="AF22">
        <v>5.7</v>
      </c>
      <c r="AG22">
        <v>6.3</v>
      </c>
      <c r="AH22">
        <v>5.85</v>
      </c>
      <c r="AI22">
        <v>6.45</v>
      </c>
      <c r="AK22" t="s">
        <v>38</v>
      </c>
      <c r="AL22">
        <v>4.9000000000000004</v>
      </c>
      <c r="AM22">
        <v>5.4</v>
      </c>
      <c r="AN22">
        <v>5.0999999999999996</v>
      </c>
      <c r="AO22">
        <v>5.7</v>
      </c>
      <c r="AP22">
        <v>5.2</v>
      </c>
      <c r="AQ22">
        <v>5.8</v>
      </c>
      <c r="AR22">
        <v>5.0999999999999996</v>
      </c>
      <c r="AS22">
        <f t="shared" si="0"/>
        <v>5.8999999999999995</v>
      </c>
      <c r="AU22" t="s">
        <v>38</v>
      </c>
      <c r="AV22">
        <v>6.3</v>
      </c>
      <c r="AW22">
        <v>6.95</v>
      </c>
      <c r="AX22">
        <v>6.45</v>
      </c>
      <c r="AY22">
        <v>7.15</v>
      </c>
      <c r="AZ22">
        <v>6.6</v>
      </c>
      <c r="BA22">
        <v>7.25</v>
      </c>
      <c r="BB22">
        <v>6.7</v>
      </c>
      <c r="BC22">
        <v>7.45</v>
      </c>
      <c r="BE22" t="s">
        <v>38</v>
      </c>
      <c r="BF22">
        <v>5.7</v>
      </c>
      <c r="BG22">
        <v>6.3</v>
      </c>
      <c r="BH22">
        <v>5.7</v>
      </c>
      <c r="BI22">
        <v>6.3</v>
      </c>
      <c r="BJ22">
        <v>5.7</v>
      </c>
      <c r="BK22">
        <v>6.4</v>
      </c>
      <c r="BL22">
        <v>5.9</v>
      </c>
      <c r="BM22">
        <v>6.4</v>
      </c>
    </row>
    <row r="23" spans="7:65" hidden="1" x14ac:dyDescent="0.2">
      <c r="G23" t="s">
        <v>39</v>
      </c>
      <c r="H23">
        <v>3.65</v>
      </c>
      <c r="I23">
        <v>3.65</v>
      </c>
      <c r="J23">
        <v>3.85</v>
      </c>
      <c r="K23">
        <v>3.85</v>
      </c>
      <c r="L23">
        <v>4.05</v>
      </c>
      <c r="M23">
        <v>4.05</v>
      </c>
      <c r="N23">
        <v>4.25</v>
      </c>
      <c r="O23">
        <v>4.25</v>
      </c>
      <c r="Q23" t="s">
        <v>39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A23" t="s">
        <v>39</v>
      </c>
      <c r="AB23">
        <v>4.95</v>
      </c>
      <c r="AC23">
        <v>5.35</v>
      </c>
      <c r="AD23">
        <v>5.25</v>
      </c>
      <c r="AE23">
        <v>5.85</v>
      </c>
      <c r="AF23">
        <v>5.4</v>
      </c>
      <c r="AG23">
        <v>6</v>
      </c>
      <c r="AH23">
        <v>5.55</v>
      </c>
      <c r="AI23">
        <v>6.15</v>
      </c>
      <c r="AK23" t="s">
        <v>39</v>
      </c>
      <c r="AL23">
        <v>4.5</v>
      </c>
      <c r="AM23">
        <v>5.2</v>
      </c>
      <c r="AN23">
        <v>4.8</v>
      </c>
      <c r="AO23">
        <v>5.3</v>
      </c>
      <c r="AP23">
        <v>5</v>
      </c>
      <c r="AQ23">
        <v>5.4</v>
      </c>
      <c r="AR23">
        <v>5</v>
      </c>
      <c r="AS23">
        <f t="shared" si="0"/>
        <v>5.5</v>
      </c>
      <c r="AU23" t="s">
        <v>39</v>
      </c>
      <c r="AV23">
        <v>6</v>
      </c>
      <c r="AW23">
        <v>6.62</v>
      </c>
      <c r="AX23">
        <v>6.15</v>
      </c>
      <c r="AY23">
        <v>6.8</v>
      </c>
      <c r="AZ23">
        <v>6.25</v>
      </c>
      <c r="BA23">
        <v>6.95</v>
      </c>
      <c r="BB23">
        <v>6.4</v>
      </c>
      <c r="BC23">
        <v>7.1</v>
      </c>
      <c r="BE23" t="s">
        <v>39</v>
      </c>
      <c r="BF23">
        <v>5.3</v>
      </c>
      <c r="BG23">
        <v>5.9</v>
      </c>
      <c r="BH23">
        <v>5.3</v>
      </c>
      <c r="BI23">
        <v>5.9</v>
      </c>
      <c r="BJ23">
        <v>5.3</v>
      </c>
      <c r="BK23">
        <v>6</v>
      </c>
      <c r="BL23">
        <v>5.5</v>
      </c>
      <c r="BM23">
        <v>6</v>
      </c>
    </row>
    <row r="24" spans="7:65" hidden="1" x14ac:dyDescent="0.2">
      <c r="G24" t="s">
        <v>167</v>
      </c>
      <c r="H24">
        <v>5.7</v>
      </c>
      <c r="I24">
        <v>6</v>
      </c>
      <c r="J24">
        <v>5.9</v>
      </c>
      <c r="K24">
        <v>6.2</v>
      </c>
      <c r="L24">
        <v>6.05</v>
      </c>
      <c r="M24">
        <v>6.4</v>
      </c>
      <c r="N24">
        <v>6.25</v>
      </c>
      <c r="O24">
        <v>6.6</v>
      </c>
      <c r="Q24" t="s">
        <v>167</v>
      </c>
      <c r="AA24" t="s">
        <v>167</v>
      </c>
      <c r="AB24">
        <v>6.55</v>
      </c>
      <c r="AC24">
        <v>6.9</v>
      </c>
      <c r="AD24">
        <v>6.9</v>
      </c>
      <c r="AE24">
        <v>7.3</v>
      </c>
      <c r="AF24">
        <v>7</v>
      </c>
      <c r="AG24">
        <v>7.4</v>
      </c>
      <c r="AH24">
        <v>7.15</v>
      </c>
      <c r="AI24">
        <v>7.6</v>
      </c>
      <c r="AK24" t="s">
        <v>167</v>
      </c>
      <c r="AL24">
        <v>6.4</v>
      </c>
      <c r="AM24">
        <v>7.2</v>
      </c>
      <c r="AN24">
        <v>6.8</v>
      </c>
      <c r="AO24">
        <v>7.5</v>
      </c>
      <c r="AP24">
        <v>6.8</v>
      </c>
      <c r="AQ24">
        <v>7.5</v>
      </c>
      <c r="AR24">
        <v>7</v>
      </c>
      <c r="AS24">
        <v>7.6</v>
      </c>
      <c r="AU24" t="s">
        <v>167</v>
      </c>
      <c r="AV24">
        <v>7.7</v>
      </c>
      <c r="AW24">
        <v>8.15</v>
      </c>
      <c r="AX24">
        <v>7.85</v>
      </c>
      <c r="AY24">
        <v>8.3000000000000007</v>
      </c>
      <c r="AZ24">
        <v>7.95</v>
      </c>
      <c r="BA24">
        <v>8.4499999999999993</v>
      </c>
      <c r="BB24">
        <v>8.1</v>
      </c>
      <c r="BC24">
        <v>8.6</v>
      </c>
      <c r="BE24" t="s">
        <v>167</v>
      </c>
      <c r="BF24">
        <v>7.6</v>
      </c>
      <c r="BG24">
        <v>8.15</v>
      </c>
      <c r="BH24">
        <v>7.3</v>
      </c>
      <c r="BI24">
        <v>8</v>
      </c>
      <c r="BJ24">
        <v>7.4</v>
      </c>
      <c r="BK24">
        <v>8.1</v>
      </c>
      <c r="BL24">
        <v>7.4</v>
      </c>
      <c r="BM24">
        <v>8.1999999999999993</v>
      </c>
    </row>
    <row r="25" spans="7:65" hidden="1" x14ac:dyDescent="0.2">
      <c r="G25" t="s">
        <v>40</v>
      </c>
      <c r="H25">
        <v>5.4</v>
      </c>
      <c r="I25">
        <v>5.5</v>
      </c>
      <c r="J25">
        <v>5.6</v>
      </c>
      <c r="K25">
        <v>5.75</v>
      </c>
      <c r="L25">
        <v>5.75</v>
      </c>
      <c r="M25">
        <v>6</v>
      </c>
      <c r="N25">
        <v>5.95</v>
      </c>
      <c r="O25">
        <v>6.2</v>
      </c>
      <c r="Q25" t="s">
        <v>40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A25" t="s">
        <v>40</v>
      </c>
      <c r="AB25">
        <v>6.2</v>
      </c>
      <c r="AC25">
        <v>6.6</v>
      </c>
      <c r="AD25">
        <v>6.6</v>
      </c>
      <c r="AE25">
        <v>6.95</v>
      </c>
      <c r="AF25">
        <v>6.7</v>
      </c>
      <c r="AG25">
        <v>7.1</v>
      </c>
      <c r="AH25">
        <v>6.86</v>
      </c>
      <c r="AI25">
        <v>7.3</v>
      </c>
      <c r="AK25" t="s">
        <v>40</v>
      </c>
      <c r="AL25">
        <v>6.1</v>
      </c>
      <c r="AM25">
        <v>6.8</v>
      </c>
      <c r="AN25">
        <v>6.4</v>
      </c>
      <c r="AO25">
        <v>7.1</v>
      </c>
      <c r="AP25">
        <v>6.4</v>
      </c>
      <c r="AQ25">
        <v>7.1</v>
      </c>
      <c r="AR25">
        <v>6.5</v>
      </c>
      <c r="AS25">
        <f t="shared" si="0"/>
        <v>7.1999999999999993</v>
      </c>
      <c r="AU25" t="s">
        <v>40</v>
      </c>
      <c r="AV25">
        <v>7.35</v>
      </c>
      <c r="AW25">
        <v>7.85</v>
      </c>
      <c r="AX25">
        <v>7.55</v>
      </c>
      <c r="AY25">
        <v>8.0500000000000007</v>
      </c>
      <c r="AZ25">
        <v>7.65</v>
      </c>
      <c r="BA25">
        <v>8.15</v>
      </c>
      <c r="BB25">
        <v>7.75</v>
      </c>
      <c r="BC25">
        <v>8.3000000000000007</v>
      </c>
      <c r="BE25" t="s">
        <v>40</v>
      </c>
      <c r="BF25">
        <v>7.1</v>
      </c>
      <c r="BG25">
        <v>7.7</v>
      </c>
      <c r="BH25">
        <v>7</v>
      </c>
      <c r="BI25">
        <v>7.7</v>
      </c>
      <c r="BJ25">
        <v>7</v>
      </c>
      <c r="BK25">
        <v>7.8</v>
      </c>
      <c r="BL25">
        <v>7.1</v>
      </c>
      <c r="BM25">
        <v>7.8</v>
      </c>
    </row>
    <row r="26" spans="7:65" hidden="1" x14ac:dyDescent="0.2">
      <c r="G26" t="s">
        <v>41</v>
      </c>
      <c r="H26">
        <v>5.05</v>
      </c>
      <c r="I26">
        <v>5.05</v>
      </c>
      <c r="J26">
        <v>5.3</v>
      </c>
      <c r="K26">
        <v>5.3</v>
      </c>
      <c r="L26">
        <v>5.5</v>
      </c>
      <c r="M26">
        <v>5.5</v>
      </c>
      <c r="N26">
        <v>5.75</v>
      </c>
      <c r="O26">
        <v>5.75</v>
      </c>
      <c r="Q26" t="s">
        <v>41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A26" t="s">
        <v>41</v>
      </c>
      <c r="AB26">
        <v>5.95</v>
      </c>
      <c r="AC26">
        <v>6.35</v>
      </c>
      <c r="AD26">
        <v>6.3</v>
      </c>
      <c r="AE26">
        <v>6.7</v>
      </c>
      <c r="AF26">
        <v>6.4</v>
      </c>
      <c r="AG26">
        <v>6.85</v>
      </c>
      <c r="AH26">
        <v>6.6</v>
      </c>
      <c r="AI26">
        <v>7.05</v>
      </c>
      <c r="AK26" t="s">
        <v>41</v>
      </c>
      <c r="AL26">
        <v>5.7</v>
      </c>
      <c r="AM26">
        <v>6.4</v>
      </c>
      <c r="AN26">
        <v>6.1</v>
      </c>
      <c r="AO26">
        <v>6.7</v>
      </c>
      <c r="AP26">
        <v>6.1</v>
      </c>
      <c r="AQ26">
        <v>6.7</v>
      </c>
      <c r="AR26">
        <v>6.2</v>
      </c>
      <c r="AS26">
        <f t="shared" si="0"/>
        <v>6.8</v>
      </c>
      <c r="AU26" t="s">
        <v>41</v>
      </c>
      <c r="AV26">
        <v>7.05</v>
      </c>
      <c r="AW26">
        <v>7.55</v>
      </c>
      <c r="AX26">
        <v>7.25</v>
      </c>
      <c r="AY26">
        <v>7.8</v>
      </c>
      <c r="AZ26">
        <v>7.35</v>
      </c>
      <c r="BA26">
        <v>7.9</v>
      </c>
      <c r="BB26">
        <v>7.5</v>
      </c>
      <c r="BC26">
        <v>8.0500000000000007</v>
      </c>
      <c r="BE26" t="s">
        <v>41</v>
      </c>
      <c r="BF26">
        <v>6.6</v>
      </c>
      <c r="BG26">
        <v>7.3</v>
      </c>
      <c r="BH26">
        <v>6.6</v>
      </c>
      <c r="BI26">
        <v>7.4</v>
      </c>
      <c r="BJ26">
        <v>6.7</v>
      </c>
      <c r="BK26">
        <v>7.5</v>
      </c>
      <c r="BL26">
        <v>6.8</v>
      </c>
      <c r="BM26">
        <v>7.5</v>
      </c>
    </row>
    <row r="27" spans="7:65" hidden="1" x14ac:dyDescent="0.2">
      <c r="G27" t="s">
        <v>42</v>
      </c>
      <c r="H27">
        <v>4.7</v>
      </c>
      <c r="I27">
        <v>4.7</v>
      </c>
      <c r="J27">
        <v>4.9000000000000004</v>
      </c>
      <c r="K27">
        <v>4.9000000000000004</v>
      </c>
      <c r="L27">
        <v>5.15</v>
      </c>
      <c r="M27">
        <v>5.15</v>
      </c>
      <c r="N27">
        <v>5.35</v>
      </c>
      <c r="O27">
        <v>5.35</v>
      </c>
      <c r="Q27" t="s">
        <v>42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A27" t="s">
        <v>42</v>
      </c>
      <c r="AB27">
        <v>5.75</v>
      </c>
      <c r="AC27">
        <v>6.1</v>
      </c>
      <c r="AD27">
        <v>6.05</v>
      </c>
      <c r="AE27">
        <v>6.5</v>
      </c>
      <c r="AF27">
        <v>6.2</v>
      </c>
      <c r="AG27">
        <v>6.65</v>
      </c>
      <c r="AH27">
        <v>6.35</v>
      </c>
      <c r="AI27">
        <v>6.8</v>
      </c>
      <c r="AK27" t="s">
        <v>42</v>
      </c>
      <c r="AL27">
        <v>5.5</v>
      </c>
      <c r="AM27">
        <v>6.1</v>
      </c>
      <c r="AN27">
        <v>5.8</v>
      </c>
      <c r="AO27">
        <v>6.4</v>
      </c>
      <c r="AP27">
        <v>5.8</v>
      </c>
      <c r="AQ27">
        <v>6.4</v>
      </c>
      <c r="AR27">
        <v>5.9</v>
      </c>
      <c r="AS27">
        <f t="shared" si="0"/>
        <v>6.5</v>
      </c>
      <c r="AU27" t="s">
        <v>42</v>
      </c>
      <c r="AV27">
        <v>6.8</v>
      </c>
      <c r="AW27">
        <v>7.3</v>
      </c>
      <c r="AX27">
        <v>7</v>
      </c>
      <c r="AY27">
        <v>7.55</v>
      </c>
      <c r="AZ27">
        <v>7.1</v>
      </c>
      <c r="BA27">
        <v>7.65</v>
      </c>
      <c r="BB27">
        <v>7.25</v>
      </c>
      <c r="BC27">
        <v>7.8</v>
      </c>
      <c r="BE27" t="s">
        <v>42</v>
      </c>
      <c r="BF27">
        <v>6.4</v>
      </c>
      <c r="BG27">
        <v>7</v>
      </c>
      <c r="BH27">
        <v>6.4</v>
      </c>
      <c r="BI27">
        <v>7.1</v>
      </c>
      <c r="BJ27">
        <v>6.5</v>
      </c>
      <c r="BK27">
        <v>7.2</v>
      </c>
      <c r="BL27">
        <v>6.6</v>
      </c>
      <c r="BM27">
        <v>7.2</v>
      </c>
    </row>
    <row r="28" spans="7:65" hidden="1" x14ac:dyDescent="0.2">
      <c r="G28" t="s">
        <v>43</v>
      </c>
      <c r="H28">
        <v>4.3499999999999996</v>
      </c>
      <c r="I28">
        <v>4.3499999999999996</v>
      </c>
      <c r="J28">
        <v>4.55</v>
      </c>
      <c r="K28">
        <v>4.55</v>
      </c>
      <c r="L28">
        <v>4.8</v>
      </c>
      <c r="M28">
        <v>4.8</v>
      </c>
      <c r="N28">
        <v>5</v>
      </c>
      <c r="O28">
        <v>5</v>
      </c>
      <c r="Q28" t="s">
        <v>43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A28" t="s">
        <v>43</v>
      </c>
      <c r="AB28">
        <v>5.55</v>
      </c>
      <c r="AC28">
        <v>5.95</v>
      </c>
      <c r="AD28">
        <v>5.9</v>
      </c>
      <c r="AE28">
        <v>6.3</v>
      </c>
      <c r="AF28">
        <v>6</v>
      </c>
      <c r="AG28">
        <v>6.45</v>
      </c>
      <c r="AH28">
        <v>6.15</v>
      </c>
      <c r="AI28">
        <v>6.65</v>
      </c>
      <c r="AK28" t="s">
        <v>43</v>
      </c>
      <c r="AL28">
        <v>5.3</v>
      </c>
      <c r="AM28">
        <v>5.9</v>
      </c>
      <c r="AN28">
        <v>5.6</v>
      </c>
      <c r="AO28">
        <v>6.2</v>
      </c>
      <c r="AP28">
        <v>5.6</v>
      </c>
      <c r="AQ28">
        <v>6.2</v>
      </c>
      <c r="AR28">
        <v>5.7</v>
      </c>
      <c r="AS28">
        <f t="shared" si="0"/>
        <v>6.3</v>
      </c>
      <c r="AU28" t="s">
        <v>43</v>
      </c>
      <c r="AV28">
        <v>6.6</v>
      </c>
      <c r="AW28">
        <v>7.1</v>
      </c>
      <c r="AX28">
        <v>6.8</v>
      </c>
      <c r="AY28">
        <v>7.3</v>
      </c>
      <c r="AZ28">
        <v>6.9</v>
      </c>
      <c r="BA28">
        <v>7.45</v>
      </c>
      <c r="BB28">
        <v>7.05</v>
      </c>
      <c r="BC28">
        <v>7.6</v>
      </c>
      <c r="BE28" t="s">
        <v>43</v>
      </c>
      <c r="BF28">
        <v>6.1</v>
      </c>
      <c r="BG28">
        <v>6.7</v>
      </c>
      <c r="BH28">
        <v>6.2</v>
      </c>
      <c r="BI28">
        <v>6.8</v>
      </c>
      <c r="BJ28">
        <v>6.3</v>
      </c>
      <c r="BK28">
        <v>6.9</v>
      </c>
      <c r="BL28">
        <v>6.4</v>
      </c>
      <c r="BM28">
        <v>6.9</v>
      </c>
    </row>
    <row r="29" spans="7:65" ht="12" hidden="1" customHeight="1" x14ac:dyDescent="0.2">
      <c r="G29" t="s">
        <v>81</v>
      </c>
      <c r="H29">
        <v>4.05</v>
      </c>
      <c r="I29">
        <v>4.05</v>
      </c>
      <c r="J29">
        <v>4.3</v>
      </c>
      <c r="K29">
        <v>4.3</v>
      </c>
      <c r="L29">
        <v>4.5</v>
      </c>
      <c r="M29">
        <v>4.5</v>
      </c>
      <c r="N29">
        <v>4.7</v>
      </c>
      <c r="O29">
        <v>4.7</v>
      </c>
      <c r="Q29" t="s">
        <v>81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A29" t="s">
        <v>81</v>
      </c>
      <c r="AB29">
        <v>5.25</v>
      </c>
      <c r="AC29">
        <v>5.5</v>
      </c>
      <c r="AD29">
        <v>5.6</v>
      </c>
      <c r="AE29">
        <f t="shared" ref="AE29:AI29" si="2">+(AE28+AE30)/2</f>
        <v>6.05</v>
      </c>
      <c r="AF29">
        <f t="shared" si="2"/>
        <v>5.75</v>
      </c>
      <c r="AG29">
        <v>6.2</v>
      </c>
      <c r="AH29">
        <f t="shared" si="2"/>
        <v>5.9</v>
      </c>
      <c r="AI29">
        <f t="shared" si="2"/>
        <v>6.4</v>
      </c>
      <c r="AK29" t="s">
        <v>81</v>
      </c>
      <c r="AL29">
        <v>5.0999999999999996</v>
      </c>
      <c r="AM29">
        <v>5.7</v>
      </c>
      <c r="AN29">
        <v>5.4</v>
      </c>
      <c r="AO29">
        <v>6</v>
      </c>
      <c r="AP29">
        <v>5.4</v>
      </c>
      <c r="AQ29">
        <v>6</v>
      </c>
      <c r="AR29">
        <v>5.5</v>
      </c>
      <c r="AS29">
        <f t="shared" si="0"/>
        <v>6.1</v>
      </c>
      <c r="AU29" t="s">
        <v>81</v>
      </c>
      <c r="AV29">
        <v>6.4</v>
      </c>
      <c r="AW29">
        <v>6.85</v>
      </c>
      <c r="AX29">
        <v>6.65</v>
      </c>
      <c r="AY29">
        <v>7</v>
      </c>
      <c r="AZ29">
        <v>6.65</v>
      </c>
      <c r="BA29">
        <v>7.15</v>
      </c>
      <c r="BB29">
        <v>6.9</v>
      </c>
      <c r="BC29">
        <v>7.4</v>
      </c>
      <c r="BE29" t="s">
        <v>81</v>
      </c>
      <c r="BF29">
        <v>5.9</v>
      </c>
      <c r="BG29">
        <v>6.5</v>
      </c>
      <c r="BH29">
        <v>5.9</v>
      </c>
      <c r="BI29">
        <v>6.5</v>
      </c>
      <c r="BJ29">
        <v>6</v>
      </c>
      <c r="BK29">
        <v>6.6</v>
      </c>
      <c r="BL29">
        <v>6.1</v>
      </c>
      <c r="BM29">
        <v>6.6</v>
      </c>
    </row>
    <row r="30" spans="7:65" hidden="1" x14ac:dyDescent="0.2">
      <c r="G30" t="s">
        <v>44</v>
      </c>
      <c r="H30">
        <v>3.6</v>
      </c>
      <c r="I30">
        <v>3.6</v>
      </c>
      <c r="J30">
        <v>3.8</v>
      </c>
      <c r="K30">
        <v>3.8</v>
      </c>
      <c r="L30">
        <v>4</v>
      </c>
      <c r="M30">
        <v>4</v>
      </c>
      <c r="N30">
        <v>4.2</v>
      </c>
      <c r="O30">
        <v>4.2</v>
      </c>
      <c r="Q30" t="s">
        <v>44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A30" t="s">
        <v>44</v>
      </c>
      <c r="AB30">
        <v>5.05</v>
      </c>
      <c r="AC30">
        <v>5.25</v>
      </c>
      <c r="AD30">
        <v>5.35</v>
      </c>
      <c r="AE30">
        <v>5.8</v>
      </c>
      <c r="AF30">
        <v>5.5</v>
      </c>
      <c r="AG30">
        <v>6</v>
      </c>
      <c r="AH30">
        <v>5.65</v>
      </c>
      <c r="AI30">
        <v>6.15</v>
      </c>
      <c r="AK30" t="s">
        <v>44</v>
      </c>
      <c r="AL30">
        <v>4.7</v>
      </c>
      <c r="AM30">
        <v>5.2</v>
      </c>
      <c r="AN30">
        <v>5</v>
      </c>
      <c r="AO30">
        <v>5.5</v>
      </c>
      <c r="AP30">
        <v>5</v>
      </c>
      <c r="AQ30">
        <v>5.5</v>
      </c>
      <c r="AR30">
        <v>5.0999999999999996</v>
      </c>
      <c r="AS30">
        <f t="shared" si="0"/>
        <v>5.6</v>
      </c>
      <c r="AU30" t="s">
        <v>44</v>
      </c>
      <c r="AV30">
        <v>6.05</v>
      </c>
      <c r="AW30">
        <v>6.6</v>
      </c>
      <c r="AX30">
        <v>6.25</v>
      </c>
      <c r="AY30">
        <v>6.8</v>
      </c>
      <c r="AZ30">
        <v>6.35</v>
      </c>
      <c r="BA30">
        <v>6.95</v>
      </c>
      <c r="BB30">
        <v>6.5</v>
      </c>
      <c r="BC30">
        <v>7.1</v>
      </c>
      <c r="BE30" t="s">
        <v>44</v>
      </c>
      <c r="BF30">
        <v>5.5</v>
      </c>
      <c r="BG30">
        <v>6.1</v>
      </c>
      <c r="BH30">
        <v>5.5</v>
      </c>
      <c r="BI30">
        <v>6.2</v>
      </c>
      <c r="BJ30">
        <v>5.6</v>
      </c>
      <c r="BK30">
        <v>6.3</v>
      </c>
      <c r="BL30">
        <v>5.7</v>
      </c>
      <c r="BM30">
        <v>6.3</v>
      </c>
    </row>
    <row r="31" spans="7:65" hidden="1" x14ac:dyDescent="0.2">
      <c r="G31" t="s">
        <v>67</v>
      </c>
      <c r="H31">
        <v>3.2</v>
      </c>
      <c r="I31">
        <v>3.2</v>
      </c>
      <c r="J31">
        <v>3.4</v>
      </c>
      <c r="K31">
        <v>3.4</v>
      </c>
      <c r="L31">
        <v>3.6</v>
      </c>
      <c r="M31">
        <v>3.6</v>
      </c>
      <c r="N31">
        <v>3.8</v>
      </c>
      <c r="O31">
        <v>3.8</v>
      </c>
      <c r="Q31" t="s">
        <v>67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A31" t="s">
        <v>67</v>
      </c>
      <c r="AB31">
        <v>4.75</v>
      </c>
      <c r="AC31">
        <v>4.75</v>
      </c>
      <c r="AD31">
        <v>5.0999999999999996</v>
      </c>
      <c r="AE31">
        <v>5.55</v>
      </c>
      <c r="AF31">
        <v>5.25</v>
      </c>
      <c r="AG31">
        <v>5.7</v>
      </c>
      <c r="AH31">
        <v>5.4</v>
      </c>
      <c r="AI31">
        <v>5.9</v>
      </c>
      <c r="AK31" t="s">
        <v>67</v>
      </c>
      <c r="AL31">
        <v>4.4000000000000004</v>
      </c>
      <c r="AM31">
        <v>5</v>
      </c>
      <c r="AN31">
        <v>4.7</v>
      </c>
      <c r="AO31">
        <v>5.2</v>
      </c>
      <c r="AP31">
        <v>4.7</v>
      </c>
      <c r="AQ31">
        <v>5.2</v>
      </c>
      <c r="AR31">
        <v>4.8</v>
      </c>
      <c r="AS31">
        <f t="shared" si="0"/>
        <v>5.3</v>
      </c>
      <c r="AU31" t="s">
        <v>67</v>
      </c>
      <c r="AV31">
        <v>5.8</v>
      </c>
      <c r="AW31">
        <v>6.3</v>
      </c>
      <c r="AX31">
        <v>6</v>
      </c>
      <c r="AY31">
        <v>6.55</v>
      </c>
      <c r="AZ31">
        <v>6.1</v>
      </c>
      <c r="BA31">
        <v>6.65</v>
      </c>
      <c r="BB31">
        <v>6.25</v>
      </c>
      <c r="BC31">
        <v>6.75</v>
      </c>
      <c r="BE31" t="s">
        <v>67</v>
      </c>
      <c r="BF31">
        <v>5.2</v>
      </c>
      <c r="BG31">
        <v>5.7</v>
      </c>
      <c r="BH31">
        <v>5.3</v>
      </c>
      <c r="BI31">
        <v>5.8</v>
      </c>
      <c r="BJ31">
        <v>5.4</v>
      </c>
      <c r="BK31">
        <v>5.9</v>
      </c>
      <c r="BL31">
        <v>5.5</v>
      </c>
      <c r="BM31">
        <v>5.9</v>
      </c>
    </row>
    <row r="32" spans="7:65" hidden="1" x14ac:dyDescent="0.2">
      <c r="G32" t="s">
        <v>168</v>
      </c>
      <c r="H32">
        <v>4.5999999999999996</v>
      </c>
      <c r="I32">
        <v>4.5999999999999996</v>
      </c>
      <c r="J32">
        <v>4.8</v>
      </c>
      <c r="K32">
        <v>4.8</v>
      </c>
      <c r="L32">
        <v>5.05</v>
      </c>
      <c r="M32">
        <v>5.05</v>
      </c>
      <c r="N32">
        <v>5.25</v>
      </c>
      <c r="O32">
        <v>5.25</v>
      </c>
      <c r="Q32" t="s">
        <v>168</v>
      </c>
      <c r="AA32" t="s">
        <v>168</v>
      </c>
      <c r="AB32">
        <v>5.9</v>
      </c>
      <c r="AC32">
        <v>6.15</v>
      </c>
      <c r="AD32">
        <v>6.3</v>
      </c>
      <c r="AE32">
        <v>6.55</v>
      </c>
      <c r="AF32">
        <v>6.4450000000000003</v>
      </c>
      <c r="AG32">
        <v>6.7</v>
      </c>
      <c r="AH32">
        <v>6.6</v>
      </c>
      <c r="AI32">
        <v>6.85</v>
      </c>
      <c r="AK32" t="s">
        <v>168</v>
      </c>
      <c r="AL32">
        <v>5.9</v>
      </c>
      <c r="AM32">
        <v>6.6</v>
      </c>
      <c r="AN32">
        <v>6.2</v>
      </c>
      <c r="AO32">
        <v>6.9</v>
      </c>
      <c r="AP32">
        <v>6.3</v>
      </c>
      <c r="AQ32">
        <v>7</v>
      </c>
      <c r="AR32">
        <v>6.4</v>
      </c>
      <c r="AS32">
        <f t="shared" si="0"/>
        <v>7.1</v>
      </c>
      <c r="AU32" t="s">
        <v>168</v>
      </c>
      <c r="AV32">
        <v>7.1</v>
      </c>
      <c r="AW32">
        <v>7.35</v>
      </c>
      <c r="AX32">
        <v>7.25</v>
      </c>
      <c r="AY32">
        <v>7.55</v>
      </c>
      <c r="AZ32">
        <v>7.35</v>
      </c>
      <c r="BA32">
        <v>7.7</v>
      </c>
      <c r="BB32">
        <v>7.45</v>
      </c>
      <c r="BC32">
        <v>7.8</v>
      </c>
      <c r="BE32" t="s">
        <v>168</v>
      </c>
      <c r="BF32">
        <v>6.8</v>
      </c>
      <c r="BG32">
        <v>7.35</v>
      </c>
      <c r="BH32">
        <v>6.8</v>
      </c>
      <c r="BI32">
        <v>7.55</v>
      </c>
      <c r="BJ32">
        <v>6.9</v>
      </c>
      <c r="BK32">
        <v>7.6</v>
      </c>
      <c r="BL32">
        <v>6.9</v>
      </c>
      <c r="BM32">
        <v>7.6</v>
      </c>
    </row>
    <row r="33" spans="2:65" hidden="1" x14ac:dyDescent="0.2">
      <c r="G33" t="s">
        <v>50</v>
      </c>
      <c r="H33">
        <v>4.25</v>
      </c>
      <c r="I33">
        <v>4.25</v>
      </c>
      <c r="J33">
        <v>4.45</v>
      </c>
      <c r="K33">
        <v>4.45</v>
      </c>
      <c r="L33">
        <v>4.7</v>
      </c>
      <c r="M33">
        <v>4.7</v>
      </c>
      <c r="N33">
        <v>4.9000000000000004</v>
      </c>
      <c r="O33">
        <v>4.9000000000000004</v>
      </c>
      <c r="Q33" t="s">
        <v>50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A33" t="s">
        <v>50</v>
      </c>
      <c r="AB33">
        <v>5.7</v>
      </c>
      <c r="AC33">
        <v>5.95</v>
      </c>
      <c r="AD33">
        <v>6.05</v>
      </c>
      <c r="AE33">
        <v>6.35</v>
      </c>
      <c r="AF33">
        <v>6.2</v>
      </c>
      <c r="AG33">
        <v>6.45</v>
      </c>
      <c r="AH33">
        <v>6.35</v>
      </c>
      <c r="AI33">
        <v>6.65</v>
      </c>
      <c r="AK33" t="s">
        <v>50</v>
      </c>
      <c r="AL33">
        <v>5.5</v>
      </c>
      <c r="AM33">
        <v>6.2</v>
      </c>
      <c r="AN33">
        <v>5.9</v>
      </c>
      <c r="AO33">
        <v>6.6</v>
      </c>
      <c r="AP33">
        <v>6</v>
      </c>
      <c r="AQ33">
        <v>6.6</v>
      </c>
      <c r="AR33">
        <v>6.1</v>
      </c>
      <c r="AS33">
        <f t="shared" si="0"/>
        <v>6.6999999999999993</v>
      </c>
      <c r="AU33" t="s">
        <v>50</v>
      </c>
      <c r="AV33">
        <v>6.85</v>
      </c>
      <c r="AW33">
        <v>7.15</v>
      </c>
      <c r="AX33">
        <v>7</v>
      </c>
      <c r="AY33">
        <v>7.35</v>
      </c>
      <c r="AZ33">
        <v>7.1</v>
      </c>
      <c r="BA33">
        <v>7.5</v>
      </c>
      <c r="BB33">
        <v>7.2</v>
      </c>
      <c r="BC33">
        <v>7.6</v>
      </c>
      <c r="BE33" t="s">
        <v>50</v>
      </c>
      <c r="BF33">
        <v>6.5</v>
      </c>
      <c r="BG33">
        <v>7.2</v>
      </c>
      <c r="BH33">
        <v>6.5</v>
      </c>
      <c r="BI33">
        <v>7.2</v>
      </c>
      <c r="BJ33">
        <v>6.6</v>
      </c>
      <c r="BK33">
        <v>7.3</v>
      </c>
      <c r="BL33">
        <v>6.7</v>
      </c>
      <c r="BM33">
        <v>7.3</v>
      </c>
    </row>
    <row r="34" spans="2:65" hidden="1" x14ac:dyDescent="0.2">
      <c r="G34" t="s">
        <v>76</v>
      </c>
      <c r="H34">
        <v>4</v>
      </c>
      <c r="I34">
        <v>4</v>
      </c>
      <c r="J34">
        <v>4.2</v>
      </c>
      <c r="K34">
        <v>4.2</v>
      </c>
      <c r="L34">
        <v>4.4000000000000004</v>
      </c>
      <c r="M34">
        <v>4.4000000000000004</v>
      </c>
      <c r="N34">
        <v>4.5999999999999996</v>
      </c>
      <c r="O34">
        <v>4.5999999999999996</v>
      </c>
      <c r="Q34" t="s">
        <v>76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AA34" t="s">
        <v>76</v>
      </c>
      <c r="AB34">
        <v>5.5</v>
      </c>
      <c r="AC34">
        <v>5.8</v>
      </c>
      <c r="AD34">
        <v>5.85</v>
      </c>
      <c r="AE34">
        <v>6.05</v>
      </c>
      <c r="AF34">
        <v>6</v>
      </c>
      <c r="AG34">
        <v>6.3</v>
      </c>
      <c r="AH34">
        <v>6.15</v>
      </c>
      <c r="AI34">
        <v>6.45</v>
      </c>
      <c r="AK34" t="s">
        <v>76</v>
      </c>
      <c r="AL34">
        <v>5.3</v>
      </c>
      <c r="AM34">
        <v>6</v>
      </c>
      <c r="AN34">
        <v>5.7</v>
      </c>
      <c r="AO34">
        <v>6.4</v>
      </c>
      <c r="AP34">
        <v>5.7</v>
      </c>
      <c r="AQ34">
        <v>6.4</v>
      </c>
      <c r="AR34">
        <v>5.8</v>
      </c>
      <c r="AS34">
        <f t="shared" si="0"/>
        <v>6.5</v>
      </c>
      <c r="AU34" t="s">
        <v>76</v>
      </c>
      <c r="AV34">
        <v>6.6</v>
      </c>
      <c r="AW34">
        <v>6.95</v>
      </c>
      <c r="AX34">
        <v>6.8</v>
      </c>
      <c r="AY34">
        <v>7.15</v>
      </c>
      <c r="AZ34">
        <v>6.9</v>
      </c>
      <c r="BA34">
        <v>7.3</v>
      </c>
      <c r="BB34">
        <v>7</v>
      </c>
      <c r="BC34">
        <v>7.4</v>
      </c>
      <c r="BE34" t="s">
        <v>76</v>
      </c>
      <c r="BF34">
        <v>6.2</v>
      </c>
      <c r="BG34">
        <v>6.9</v>
      </c>
      <c r="BH34">
        <v>6.2</v>
      </c>
      <c r="BI34">
        <v>6.9</v>
      </c>
      <c r="BJ34">
        <v>6.3</v>
      </c>
      <c r="BK34">
        <v>7</v>
      </c>
      <c r="BL34">
        <v>6.4</v>
      </c>
      <c r="BM34">
        <v>7</v>
      </c>
    </row>
    <row r="35" spans="2:65" hidden="1" x14ac:dyDescent="0.2">
      <c r="G35" t="s">
        <v>77</v>
      </c>
      <c r="H35">
        <v>3.75</v>
      </c>
      <c r="I35">
        <v>3.75</v>
      </c>
      <c r="J35">
        <v>3.95</v>
      </c>
      <c r="K35">
        <v>3.95</v>
      </c>
      <c r="L35">
        <v>4.1500000000000004</v>
      </c>
      <c r="M35">
        <v>4.1500000000000004</v>
      </c>
      <c r="N35">
        <v>4.3499999999999996</v>
      </c>
      <c r="O35">
        <v>4.3499999999999996</v>
      </c>
      <c r="Q35" t="s">
        <v>77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AA35" t="s">
        <v>77</v>
      </c>
      <c r="AB35">
        <v>5.35</v>
      </c>
      <c r="AC35">
        <v>5.45</v>
      </c>
      <c r="AD35">
        <v>5.7</v>
      </c>
      <c r="AE35">
        <v>5.95</v>
      </c>
      <c r="AF35">
        <v>5.8</v>
      </c>
      <c r="AG35">
        <v>6.1</v>
      </c>
      <c r="AH35">
        <v>6</v>
      </c>
      <c r="AI35">
        <v>6.3</v>
      </c>
      <c r="AK35" t="s">
        <v>77</v>
      </c>
      <c r="AL35">
        <v>5</v>
      </c>
      <c r="AM35">
        <v>5.7</v>
      </c>
      <c r="AN35">
        <v>5.4</v>
      </c>
      <c r="AO35">
        <v>6</v>
      </c>
      <c r="AP35">
        <v>5.4</v>
      </c>
      <c r="AQ35">
        <v>6</v>
      </c>
      <c r="AR35">
        <v>5.5</v>
      </c>
      <c r="AS35">
        <f t="shared" si="0"/>
        <v>6.1</v>
      </c>
      <c r="AU35" t="s">
        <v>77</v>
      </c>
      <c r="AV35">
        <v>6.4</v>
      </c>
      <c r="AW35">
        <v>6.75</v>
      </c>
      <c r="AX35">
        <v>6.6</v>
      </c>
      <c r="AY35">
        <v>7</v>
      </c>
      <c r="AZ35">
        <v>6.7</v>
      </c>
      <c r="BA35">
        <v>7.1</v>
      </c>
      <c r="BB35">
        <v>6.85</v>
      </c>
      <c r="BC35">
        <v>7.2</v>
      </c>
      <c r="BE35" t="s">
        <v>77</v>
      </c>
      <c r="BF35">
        <v>6</v>
      </c>
      <c r="BG35">
        <v>6.6</v>
      </c>
      <c r="BH35">
        <v>6</v>
      </c>
      <c r="BI35">
        <v>6.6</v>
      </c>
      <c r="BJ35">
        <v>6.1</v>
      </c>
      <c r="BK35">
        <v>6.7</v>
      </c>
      <c r="BL35">
        <v>6.2</v>
      </c>
      <c r="BM35">
        <v>6.7</v>
      </c>
    </row>
    <row r="36" spans="2:65" hidden="1" x14ac:dyDescent="0.2">
      <c r="G36" t="s">
        <v>46</v>
      </c>
      <c r="H36">
        <v>3.55</v>
      </c>
      <c r="I36">
        <v>3.55</v>
      </c>
      <c r="J36">
        <v>3.75</v>
      </c>
      <c r="K36">
        <v>3.75</v>
      </c>
      <c r="L36">
        <v>3.95</v>
      </c>
      <c r="M36">
        <v>3.95</v>
      </c>
      <c r="N36">
        <v>4.1500000000000004</v>
      </c>
      <c r="O36">
        <v>4.1500000000000004</v>
      </c>
      <c r="Q36" t="s">
        <v>46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AA36" t="s">
        <v>46</v>
      </c>
      <c r="AB36">
        <v>5.15</v>
      </c>
      <c r="AC36">
        <v>5.15</v>
      </c>
      <c r="AD36">
        <v>5.5</v>
      </c>
      <c r="AE36">
        <v>5.6</v>
      </c>
      <c r="AF36">
        <v>5.65</v>
      </c>
      <c r="AG36">
        <v>6</v>
      </c>
      <c r="AH36">
        <v>5.8</v>
      </c>
      <c r="AI36">
        <v>6.15</v>
      </c>
      <c r="AK36" t="s">
        <v>46</v>
      </c>
      <c r="AL36">
        <v>4.8</v>
      </c>
      <c r="AM36">
        <v>5.4</v>
      </c>
      <c r="AN36">
        <v>5.2</v>
      </c>
      <c r="AO36">
        <v>5.7</v>
      </c>
      <c r="AP36">
        <v>5.2</v>
      </c>
      <c r="AQ36">
        <v>5.7</v>
      </c>
      <c r="AR36">
        <v>5.3</v>
      </c>
      <c r="AS36">
        <f t="shared" si="0"/>
        <v>5.8</v>
      </c>
      <c r="AU36" t="s">
        <v>46</v>
      </c>
      <c r="AV36">
        <v>6.25</v>
      </c>
      <c r="AW36">
        <v>6.6</v>
      </c>
      <c r="AX36">
        <v>6.4</v>
      </c>
      <c r="AY36">
        <v>6.8</v>
      </c>
      <c r="AZ36">
        <v>6.55</v>
      </c>
      <c r="BA36">
        <v>6.95</v>
      </c>
      <c r="BB36">
        <v>6.65</v>
      </c>
      <c r="BC36">
        <v>7.05</v>
      </c>
      <c r="BE36" t="s">
        <v>46</v>
      </c>
      <c r="BF36">
        <v>5.8</v>
      </c>
      <c r="BG36">
        <v>6.4</v>
      </c>
      <c r="BH36">
        <v>5.8</v>
      </c>
      <c r="BI36">
        <v>6.4</v>
      </c>
      <c r="BJ36">
        <v>5.9</v>
      </c>
      <c r="BK36">
        <v>6.5</v>
      </c>
      <c r="BL36">
        <v>6</v>
      </c>
      <c r="BM36">
        <v>6.5</v>
      </c>
    </row>
    <row r="37" spans="2:65" hidden="1" x14ac:dyDescent="0.2">
      <c r="G37" t="s">
        <v>82</v>
      </c>
      <c r="H37">
        <v>3.25</v>
      </c>
      <c r="I37">
        <v>3.25</v>
      </c>
      <c r="J37">
        <v>3.45</v>
      </c>
      <c r="K37">
        <v>3.45</v>
      </c>
      <c r="L37">
        <v>3.65</v>
      </c>
      <c r="M37">
        <v>3.65</v>
      </c>
      <c r="N37">
        <v>3.85</v>
      </c>
      <c r="O37">
        <v>3.85</v>
      </c>
      <c r="Q37" t="s">
        <v>82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AA37" t="s">
        <v>82</v>
      </c>
      <c r="AB37">
        <f t="shared" ref="AB37:AD37" si="3">+(AB36+AB38)/2</f>
        <v>4.8000000000000007</v>
      </c>
      <c r="AC37">
        <f t="shared" si="3"/>
        <v>4.8000000000000007</v>
      </c>
      <c r="AD37">
        <f t="shared" si="3"/>
        <v>5.3</v>
      </c>
      <c r="AE37">
        <v>5.5</v>
      </c>
      <c r="AF37">
        <f t="shared" ref="AF37:AH37" si="4">+(AF36+AF38)/2</f>
        <v>5.45</v>
      </c>
      <c r="AG37">
        <f t="shared" si="4"/>
        <v>5.8</v>
      </c>
      <c r="AH37">
        <f t="shared" si="4"/>
        <v>5.6</v>
      </c>
      <c r="AI37">
        <v>5.95</v>
      </c>
      <c r="AK37" t="s">
        <v>82</v>
      </c>
      <c r="AL37">
        <v>4.5999999999999996</v>
      </c>
      <c r="AM37">
        <v>5.3</v>
      </c>
      <c r="AN37">
        <v>5.0999999999999996</v>
      </c>
      <c r="AO37">
        <v>5.6</v>
      </c>
      <c r="AP37">
        <v>5.0999999999999996</v>
      </c>
      <c r="AQ37">
        <v>5.6</v>
      </c>
      <c r="AR37">
        <v>5.2</v>
      </c>
      <c r="AS37">
        <f t="shared" si="0"/>
        <v>5.6999999999999993</v>
      </c>
      <c r="AU37" t="s">
        <v>82</v>
      </c>
      <c r="AV37">
        <v>6</v>
      </c>
      <c r="AW37">
        <v>6.4</v>
      </c>
      <c r="AX37">
        <v>6.2</v>
      </c>
      <c r="AY37">
        <v>6.6</v>
      </c>
      <c r="AZ37">
        <v>6.35</v>
      </c>
      <c r="BA37">
        <v>6.65</v>
      </c>
      <c r="BB37">
        <v>6.45</v>
      </c>
      <c r="BC37">
        <v>6.7</v>
      </c>
      <c r="BE37" t="s">
        <v>82</v>
      </c>
      <c r="BF37">
        <v>5.6</v>
      </c>
      <c r="BG37">
        <v>6.2</v>
      </c>
      <c r="BH37">
        <v>5.6</v>
      </c>
      <c r="BI37">
        <v>6.2</v>
      </c>
      <c r="BJ37">
        <v>5.7</v>
      </c>
      <c r="BK37">
        <v>6.3</v>
      </c>
      <c r="BL37">
        <v>5.8</v>
      </c>
      <c r="BM37">
        <v>6.3</v>
      </c>
    </row>
    <row r="38" spans="2:65" hidden="1" x14ac:dyDescent="0.2">
      <c r="G38" t="s">
        <v>45</v>
      </c>
      <c r="H38">
        <v>3</v>
      </c>
      <c r="I38">
        <v>3</v>
      </c>
      <c r="J38">
        <v>3.2</v>
      </c>
      <c r="K38">
        <v>3.2</v>
      </c>
      <c r="L38">
        <v>3.4</v>
      </c>
      <c r="M38">
        <v>3.4</v>
      </c>
      <c r="N38">
        <v>3.55</v>
      </c>
      <c r="O38">
        <v>3.55</v>
      </c>
      <c r="Q38" t="s">
        <v>45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AA38" t="s">
        <v>45</v>
      </c>
      <c r="AB38">
        <v>4.45</v>
      </c>
      <c r="AC38">
        <v>4.45</v>
      </c>
      <c r="AD38">
        <v>5.0999999999999996</v>
      </c>
      <c r="AE38">
        <v>5.45</v>
      </c>
      <c r="AF38">
        <v>5.25</v>
      </c>
      <c r="AG38">
        <v>5.6</v>
      </c>
      <c r="AH38">
        <v>5.4</v>
      </c>
      <c r="AI38">
        <v>5.8</v>
      </c>
      <c r="AK38" t="s">
        <v>45</v>
      </c>
      <c r="AL38">
        <v>4.4000000000000004</v>
      </c>
      <c r="AM38">
        <v>4.9000000000000004</v>
      </c>
      <c r="AN38">
        <v>4.7</v>
      </c>
      <c r="AO38">
        <v>5.2</v>
      </c>
      <c r="AP38">
        <v>4.7</v>
      </c>
      <c r="AQ38">
        <v>5.2</v>
      </c>
      <c r="AR38">
        <v>4.8</v>
      </c>
      <c r="AS38">
        <f t="shared" si="0"/>
        <v>5.3</v>
      </c>
      <c r="AU38" t="s">
        <v>45</v>
      </c>
      <c r="AV38">
        <v>5.8</v>
      </c>
      <c r="AW38">
        <v>6.2</v>
      </c>
      <c r="AX38">
        <v>6</v>
      </c>
      <c r="AY38">
        <v>6.4</v>
      </c>
      <c r="AZ38">
        <v>6.1</v>
      </c>
      <c r="BA38">
        <v>6.45</v>
      </c>
      <c r="BB38">
        <v>6.25</v>
      </c>
      <c r="BC38">
        <v>6.55</v>
      </c>
      <c r="BE38" t="s">
        <v>45</v>
      </c>
      <c r="BF38">
        <v>5.2</v>
      </c>
      <c r="BG38">
        <v>5.8</v>
      </c>
      <c r="BH38">
        <v>5.2</v>
      </c>
      <c r="BI38">
        <v>5.8</v>
      </c>
      <c r="BJ38">
        <v>5.4</v>
      </c>
      <c r="BK38">
        <v>6.2</v>
      </c>
      <c r="BL38">
        <v>5.5</v>
      </c>
      <c r="BM38">
        <v>6.2</v>
      </c>
    </row>
    <row r="39" spans="2:65" hidden="1" x14ac:dyDescent="0.2">
      <c r="G39" t="s">
        <v>68</v>
      </c>
      <c r="H39">
        <v>2.75</v>
      </c>
      <c r="I39">
        <v>2.75</v>
      </c>
      <c r="J39">
        <v>2.9</v>
      </c>
      <c r="K39">
        <v>2.9</v>
      </c>
      <c r="L39">
        <v>3.1</v>
      </c>
      <c r="M39">
        <v>3.1</v>
      </c>
      <c r="N39">
        <v>3.25</v>
      </c>
      <c r="O39">
        <v>3.25</v>
      </c>
      <c r="Q39" t="s">
        <v>68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AA39" t="s">
        <v>68</v>
      </c>
      <c r="AB39">
        <v>4.05</v>
      </c>
      <c r="AC39">
        <v>4.05</v>
      </c>
      <c r="AD39">
        <v>4.9000000000000004</v>
      </c>
      <c r="AE39">
        <v>5.25</v>
      </c>
      <c r="AF39">
        <v>5.05</v>
      </c>
      <c r="AG39">
        <v>5.4</v>
      </c>
      <c r="AH39">
        <v>5.2</v>
      </c>
      <c r="AI39">
        <v>5.55</v>
      </c>
      <c r="AK39" t="s">
        <v>68</v>
      </c>
      <c r="AL39">
        <v>4.2</v>
      </c>
      <c r="AM39">
        <v>4.7</v>
      </c>
      <c r="AN39">
        <v>4.5</v>
      </c>
      <c r="AO39">
        <v>5</v>
      </c>
      <c r="AP39">
        <v>4.5</v>
      </c>
      <c r="AQ39">
        <v>5</v>
      </c>
      <c r="AR39">
        <v>4.7</v>
      </c>
      <c r="AS39">
        <f t="shared" si="0"/>
        <v>5.0999999999999996</v>
      </c>
      <c r="AU39" t="s">
        <v>68</v>
      </c>
      <c r="AV39">
        <v>5.55</v>
      </c>
      <c r="AW39">
        <v>6</v>
      </c>
      <c r="AX39">
        <v>5.7</v>
      </c>
      <c r="AY39">
        <v>6.2</v>
      </c>
      <c r="AZ39">
        <v>5.85</v>
      </c>
      <c r="BA39">
        <v>6.2</v>
      </c>
      <c r="BB39">
        <v>6</v>
      </c>
      <c r="BC39">
        <v>6.3</v>
      </c>
      <c r="BE39" t="s">
        <v>68</v>
      </c>
      <c r="BF39">
        <v>5</v>
      </c>
      <c r="BG39">
        <v>5.5</v>
      </c>
      <c r="BH39">
        <v>5</v>
      </c>
      <c r="BI39">
        <v>5.5</v>
      </c>
      <c r="BJ39">
        <v>5.2</v>
      </c>
      <c r="BK39">
        <v>5.8</v>
      </c>
      <c r="BL39">
        <v>5.3</v>
      </c>
      <c r="BM39">
        <v>5.8</v>
      </c>
    </row>
    <row r="40" spans="2:65" hidden="1" x14ac:dyDescent="0.2">
      <c r="G40" t="s">
        <v>71</v>
      </c>
      <c r="H40" s="142">
        <v>188</v>
      </c>
      <c r="I40" s="142"/>
      <c r="J40" s="142">
        <v>211</v>
      </c>
      <c r="K40" s="142"/>
      <c r="L40" s="142">
        <v>235</v>
      </c>
      <c r="M40" s="142"/>
      <c r="N40" s="142">
        <v>257</v>
      </c>
      <c r="O40" s="142"/>
      <c r="R40" s="142"/>
      <c r="S40" s="142"/>
      <c r="T40" s="142"/>
      <c r="U40" s="142"/>
      <c r="V40" s="142"/>
      <c r="W40" s="142"/>
      <c r="X40" s="142"/>
      <c r="Y40" s="142"/>
      <c r="AB40" s="142">
        <v>211</v>
      </c>
      <c r="AC40" s="142"/>
      <c r="AD40" s="142">
        <v>233</v>
      </c>
      <c r="AE40" s="142"/>
      <c r="AF40" s="142">
        <v>256</v>
      </c>
      <c r="AG40" s="142"/>
      <c r="AH40" s="142">
        <v>279</v>
      </c>
      <c r="AI40" s="142"/>
      <c r="AL40" s="142">
        <v>211</v>
      </c>
      <c r="AM40" s="142"/>
      <c r="AN40" s="142">
        <v>233</v>
      </c>
      <c r="AO40" s="142"/>
      <c r="AP40" s="142">
        <v>256</v>
      </c>
      <c r="AQ40" s="142"/>
      <c r="AR40" s="142">
        <v>279</v>
      </c>
      <c r="AS40" s="142"/>
      <c r="AV40" s="142">
        <v>272</v>
      </c>
      <c r="AW40" s="142"/>
      <c r="AX40" s="142">
        <v>295</v>
      </c>
      <c r="AY40" s="142"/>
      <c r="AZ40" s="142">
        <v>318</v>
      </c>
      <c r="BA40" s="142"/>
      <c r="BB40" s="142">
        <v>341</v>
      </c>
      <c r="BC40" s="142"/>
      <c r="BF40" s="142">
        <v>272</v>
      </c>
      <c r="BG40" s="142"/>
      <c r="BH40" s="142">
        <v>295</v>
      </c>
      <c r="BI40" s="142"/>
      <c r="BJ40" s="142">
        <v>318</v>
      </c>
      <c r="BK40" s="142"/>
      <c r="BL40" s="142">
        <v>341</v>
      </c>
      <c r="BM40" s="142"/>
    </row>
    <row r="41" spans="2:65" hidden="1" x14ac:dyDescent="0.2">
      <c r="G41" t="s">
        <v>72</v>
      </c>
      <c r="H41" s="142">
        <v>62.5</v>
      </c>
      <c r="I41" s="142"/>
      <c r="J41" s="142">
        <v>72.5</v>
      </c>
      <c r="K41" s="142"/>
      <c r="L41" s="142">
        <v>82.5</v>
      </c>
      <c r="M41" s="142"/>
      <c r="N41" s="142">
        <v>92.5</v>
      </c>
      <c r="O41" s="142"/>
      <c r="R41" s="142"/>
      <c r="S41" s="142"/>
      <c r="T41" s="142"/>
      <c r="U41" s="142"/>
      <c r="V41" s="142"/>
      <c r="W41" s="142"/>
      <c r="X41" s="142"/>
      <c r="Y41" s="142"/>
      <c r="AB41" s="142">
        <v>70</v>
      </c>
      <c r="AC41" s="142"/>
      <c r="AD41" s="142">
        <v>76</v>
      </c>
      <c r="AE41" s="142"/>
      <c r="AF41" s="142">
        <v>85</v>
      </c>
      <c r="AG41" s="142"/>
      <c r="AH41" s="142">
        <v>94.5</v>
      </c>
      <c r="AI41" s="142"/>
      <c r="AL41" s="142">
        <v>70</v>
      </c>
      <c r="AM41" s="142"/>
      <c r="AN41" s="142">
        <v>76</v>
      </c>
      <c r="AO41" s="142"/>
      <c r="AP41" s="142">
        <v>85</v>
      </c>
      <c r="AQ41" s="142"/>
      <c r="AR41" s="142">
        <v>94.5</v>
      </c>
      <c r="AS41" s="142"/>
      <c r="AV41" s="142">
        <v>86</v>
      </c>
      <c r="AW41" s="142"/>
      <c r="AX41" s="142">
        <v>96</v>
      </c>
      <c r="AY41" s="142"/>
      <c r="AZ41" s="142">
        <v>106</v>
      </c>
      <c r="BA41" s="142"/>
      <c r="BB41" s="142">
        <v>116</v>
      </c>
      <c r="BC41" s="142"/>
      <c r="BF41" s="142">
        <v>86</v>
      </c>
      <c r="BG41" s="142"/>
      <c r="BH41" s="142">
        <v>96</v>
      </c>
      <c r="BI41" s="142"/>
      <c r="BJ41" s="142">
        <v>106</v>
      </c>
      <c r="BK41" s="142"/>
      <c r="BL41" s="142">
        <v>116</v>
      </c>
      <c r="BM41" s="142"/>
    </row>
    <row r="42" spans="2:65" hidden="1" x14ac:dyDescent="0.2">
      <c r="E42" t="s">
        <v>49</v>
      </c>
      <c r="G42" t="str">
        <f>+DIM!$AK$20&amp;"+"&amp;DIM!$S$14</f>
        <v>251+150</v>
      </c>
      <c r="H42" s="113">
        <f>+VLOOKUP($G$42,$G$16:$O$39,2,FALSE)</f>
        <v>5</v>
      </c>
      <c r="I42" s="113">
        <f>+VLOOKUP($G$42,$G$16:$O$39,3,FALSE)</f>
        <v>5.15</v>
      </c>
      <c r="J42" s="113">
        <f>+VLOOKUP($G$42,$G$16:$O$39,4,FALSE)</f>
        <v>5.2</v>
      </c>
      <c r="K42" s="113">
        <f>+VLOOKUP($G$42,$G$16:$O$39,5,FALSE)</f>
        <v>5.4</v>
      </c>
      <c r="L42" s="113">
        <f>+VLOOKUP($G$42,$G$16:$O$39,6,FALSE)</f>
        <v>5.4</v>
      </c>
      <c r="M42" s="113">
        <f>+VLOOKUP($G$42,$G$16:$O$39,7,FALSE)</f>
        <v>5.6</v>
      </c>
      <c r="N42" s="113">
        <f>+VLOOKUP($G$42,$G$16:$O$39,8,FALSE)</f>
        <v>5.55</v>
      </c>
      <c r="O42" s="113">
        <f>+VLOOKUP($G$42,$G$16:$O$39,9,FALSE)</f>
        <v>5.85</v>
      </c>
      <c r="Q42" t="str">
        <f>+DIM!$AK$20&amp;"+"&amp;DIM!$S$14</f>
        <v>251+150</v>
      </c>
      <c r="R42" s="113">
        <f>+VLOOKUP($Q$42,$Q$14:$Y$39,2,FALSE)</f>
        <v>0</v>
      </c>
      <c r="S42" s="113">
        <f>+VLOOKUP($Q$42,$Q$14:$Y$39,3,FALSE)</f>
        <v>0</v>
      </c>
      <c r="T42" s="113">
        <f>+VLOOKUP($Q$42,$Q$14:$Y$39,4,FALSE)</f>
        <v>0</v>
      </c>
      <c r="U42" s="113">
        <f>+VLOOKUP($Q$42,$Q$14:$Y$39,5,FALSE)</f>
        <v>0</v>
      </c>
      <c r="V42" s="113">
        <f>+VLOOKUP($Q$42,$Q$14:$Y$39,6,FALSE)</f>
        <v>0</v>
      </c>
      <c r="W42" s="113">
        <f>+VLOOKUP($Q$42,$Q$14:$Y$39,7,FALSE)</f>
        <v>0</v>
      </c>
      <c r="X42" s="113">
        <f>+VLOOKUP($Q$42,$Q$14:$Y$39,8,FALSE)</f>
        <v>0</v>
      </c>
      <c r="Y42" s="113">
        <f>+VLOOKUP($Q$42,$Q$14:$Y$39,9,FALSE)</f>
        <v>0</v>
      </c>
      <c r="AA42" t="str">
        <f>+DIM!$AK$20&amp;"+"&amp;DIM!$S$14</f>
        <v>251+150</v>
      </c>
      <c r="AB42" s="113">
        <f>+VLOOKUP($AA$42,$AA$16:$AI$41,2,FALSE)</f>
        <v>5.8</v>
      </c>
      <c r="AC42" s="113">
        <f>+VLOOKUP($AA$42,$AA$16:$AI$41,3,FALSE)</f>
        <v>6.3</v>
      </c>
      <c r="AD42" s="113">
        <f>+VLOOKUP($AA$42,$AA$16:$AI$41,4,FALSE)</f>
        <v>6.15</v>
      </c>
      <c r="AE42" s="113">
        <f>+VLOOKUP($AA$42,$AA$16:$AI$41,5,FALSE)</f>
        <v>6.7</v>
      </c>
      <c r="AF42" s="113">
        <f>+VLOOKUP($AA$42,$AA$16:$AI$41,6,FALSE)</f>
        <v>6.25</v>
      </c>
      <c r="AG42" s="113">
        <f>+VLOOKUP($AA$42,$AA$16:$AI$41,7,FALSE)</f>
        <v>6.85</v>
      </c>
      <c r="AH42" s="113">
        <f>+VLOOKUP($AA$42,$AA$16:$AI$41,8,FALSE)</f>
        <v>6.4</v>
      </c>
      <c r="AI42" s="113">
        <f>+VLOOKUP($AA$42,$AA$16:$AI$41,9,FALSE)</f>
        <v>7.05</v>
      </c>
      <c r="AK42" t="str">
        <f>+DIM!$AK$20&amp;"+"&amp;DIM!$S$14</f>
        <v>251+150</v>
      </c>
      <c r="AL42" s="113">
        <f>+VLOOKUP($AK$42,$AK$16:$AS$41,2,FALSE)</f>
        <v>5.5</v>
      </c>
      <c r="AM42" s="113">
        <f>+VLOOKUP($AK$42,$AK$16:$AS$41,3,FALSE)</f>
        <v>6.1</v>
      </c>
      <c r="AN42" s="113">
        <f>+VLOOKUP($AK$42,$AK$16:$AS$41,4,FALSE)</f>
        <v>5.8</v>
      </c>
      <c r="AO42" s="113">
        <f>+VLOOKUP($AK$42,$AK$16:$AS$41,5,FALSE)</f>
        <v>6.4</v>
      </c>
      <c r="AP42" s="113">
        <f>+VLOOKUP($AK$42,$AK$16:$AS$41,6,FALSE)</f>
        <v>5.9</v>
      </c>
      <c r="AQ42" s="113">
        <f>+VLOOKUP($AK$42,$AK$16:$AS$41,7,FALSE)</f>
        <v>6.5</v>
      </c>
      <c r="AR42" s="113">
        <f>+VLOOKUP($AK$42,$AK$16:$AS$41,8,FALSE)</f>
        <v>5.9</v>
      </c>
      <c r="AS42" s="113">
        <f>+VLOOKUP($AK$42,$AK$16:$AS$41,9,FALSE)</f>
        <v>6.6</v>
      </c>
      <c r="AU42" t="str">
        <f>+DIM!$AK$20&amp;"+"&amp;DIM!$S$14</f>
        <v>251+150</v>
      </c>
      <c r="AV42" s="113">
        <f>+VLOOKUP($AU$42,$AU$16:$BC$41,2,FALSE)</f>
        <v>6.9</v>
      </c>
      <c r="AW42" s="113">
        <f>+VLOOKUP($AU$42,$AU$16:$BC$41,3,FALSE)</f>
        <v>7.55</v>
      </c>
      <c r="AX42" s="113">
        <f>+VLOOKUP($AU$42,$AU$16:$BC$41,4,FALSE)</f>
        <v>7.05</v>
      </c>
      <c r="AY42" s="113">
        <f>+VLOOKUP($AU$42,$AU$16:$BC$41,5,FALSE)</f>
        <v>7.8</v>
      </c>
      <c r="AZ42" s="113">
        <f>+VLOOKUP($AU$42,$AU$16:$BC$41,6,FALSE)</f>
        <v>7.2</v>
      </c>
      <c r="BA42" s="113">
        <f>+VLOOKUP($AU$42,$AU$16:$BC$41,7,FALSE)</f>
        <v>7.9</v>
      </c>
      <c r="BB42" s="113">
        <f>+VLOOKUP($AU$42,$AU$16:$BC$41,8,FALSE)</f>
        <v>7.3</v>
      </c>
      <c r="BC42" s="113">
        <f>+VLOOKUP($AU$42,$AU$16:$BC$41,9,FALSE)</f>
        <v>8.0500000000000007</v>
      </c>
      <c r="BE42" t="str">
        <f>+DIM!$AK$20&amp;"+"&amp;DIM!$S$14</f>
        <v>251+150</v>
      </c>
      <c r="BF42" s="113">
        <f>+VLOOKUP($BE$42,$BE$16:$BM$41,2,FALSE)</f>
        <v>6.4</v>
      </c>
      <c r="BG42" s="113">
        <f>+VLOOKUP($BE$42,$BE$16:$BM$41,3,FALSE)</f>
        <v>7</v>
      </c>
      <c r="BH42" s="113">
        <f>+VLOOKUP($BE$42,$BE$16:$BM$41,4,FALSE)</f>
        <v>6.4</v>
      </c>
      <c r="BI42" s="113">
        <f>+VLOOKUP($BE$42,$BE$16:$BM$41,5,FALSE)</f>
        <v>7</v>
      </c>
      <c r="BJ42" s="113">
        <f>+VLOOKUP($BE$42,$BE$16:$BM$41,6,FALSE)</f>
        <v>6.4</v>
      </c>
      <c r="BK42" s="113">
        <f>+VLOOKUP($BE$42,$BE$16:$BM$41,7,FALSE)</f>
        <v>7.1</v>
      </c>
      <c r="BL42" s="113">
        <f>+VLOOKUP($BE$42,$BE$16:$BM$41,8,FALSE)</f>
        <v>6.5</v>
      </c>
      <c r="BM42" s="113">
        <f>+VLOOKUP($BE$42,$BE$16:$BM$41,9,FALSE)</f>
        <v>7.1</v>
      </c>
    </row>
    <row r="43" spans="2:65" hidden="1" x14ac:dyDescent="0.2">
      <c r="F43" t="s">
        <v>47</v>
      </c>
      <c r="G43" t="str">
        <f>+DIM!AD15</f>
        <v>AL</v>
      </c>
      <c r="H43" s="147">
        <f>+IF(DIM!$AD$15=$H$15,H42,I42)</f>
        <v>5</v>
      </c>
      <c r="I43" s="147"/>
      <c r="J43" s="147">
        <f>+IF(DIM!$AD$15=$H$15,J42,K42)</f>
        <v>5.2</v>
      </c>
      <c r="K43" s="147"/>
      <c r="L43" s="147">
        <f>+IF(DIM!$AD$15=$H$15,L42,M42)</f>
        <v>5.4</v>
      </c>
      <c r="M43" s="147"/>
      <c r="N43" s="147">
        <f>+IF(DIM!$AD$15=$H$15,N42,O42)</f>
        <v>5.55</v>
      </c>
      <c r="O43" s="147"/>
      <c r="Q43" t="str">
        <f>+DIM!AD15</f>
        <v>AL</v>
      </c>
      <c r="R43" s="143"/>
      <c r="S43" s="144"/>
      <c r="T43" s="143"/>
      <c r="U43" s="144"/>
      <c r="V43" s="143"/>
      <c r="W43" s="144"/>
      <c r="X43" s="143"/>
      <c r="Y43" s="144"/>
      <c r="AA43" t="str">
        <f>+DIM!AD15</f>
        <v>AL</v>
      </c>
      <c r="AB43" s="145">
        <f>+IF(DIM!$AD$15=$H$15,AB42,AC42)</f>
        <v>5.8</v>
      </c>
      <c r="AC43" s="146"/>
      <c r="AD43" s="145">
        <f>+IF(DIM!$AD$15=$H$15,AD42,AE42)</f>
        <v>6.15</v>
      </c>
      <c r="AE43" s="146"/>
      <c r="AF43" s="145">
        <f>+IF(DIM!$AD$15=$H$15,AF42,AG42)</f>
        <v>6.25</v>
      </c>
      <c r="AG43" s="146"/>
      <c r="AH43" s="145">
        <f>+IF(DIM!$AD$15=$H$15,AH42,AI42)</f>
        <v>6.4</v>
      </c>
      <c r="AI43" s="146"/>
      <c r="AK43" t="str">
        <f>+DIM!AD15</f>
        <v>AL</v>
      </c>
      <c r="AL43" s="145">
        <f>+IF(DIM!$AD$15=$H$15,AL42,AM42)</f>
        <v>5.5</v>
      </c>
      <c r="AM43" s="146"/>
      <c r="AN43" s="145">
        <f>+IF(DIM!$AD$15=$H$15,AN42,AO42)</f>
        <v>5.8</v>
      </c>
      <c r="AO43" s="146"/>
      <c r="AP43" s="145">
        <f>+IF(DIM!$AD$15=$H$15,AP42,AQ42)</f>
        <v>5.9</v>
      </c>
      <c r="AQ43" s="146"/>
      <c r="AR43" s="145">
        <f>+IF(DIM!$AD$15=$H$15,AR42,AS42)</f>
        <v>5.9</v>
      </c>
      <c r="AS43" s="146"/>
      <c r="AU43" t="str">
        <f>+AK43</f>
        <v>AL</v>
      </c>
      <c r="AV43" s="145">
        <f>+IF(DIM!$AD$15=$H$15,AV42,AW42)</f>
        <v>6.9</v>
      </c>
      <c r="AW43" s="146"/>
      <c r="AX43" s="145">
        <f>+IF(DIM!$AD$15=$H$15,AX42,AY42)</f>
        <v>7.05</v>
      </c>
      <c r="AY43" s="146"/>
      <c r="AZ43" s="145">
        <f>+IF(DIM!$AD$15=$H$15,AZ42,BA42)</f>
        <v>7.2</v>
      </c>
      <c r="BA43" s="146"/>
      <c r="BB43" s="145">
        <f>+IF(DIM!$AD$15=$H$15,BB42,BC42)</f>
        <v>7.3</v>
      </c>
      <c r="BC43" s="146"/>
      <c r="BE43" t="str">
        <f>+AU43</f>
        <v>AL</v>
      </c>
      <c r="BF43" s="145">
        <f>+IF(DIM!$AD$15=$H$15,BF42,BG42)</f>
        <v>6.4</v>
      </c>
      <c r="BG43" s="146"/>
      <c r="BH43" s="145">
        <f>+IF(DIM!$AD$15=$H$15,BH42,BI42)</f>
        <v>6.4</v>
      </c>
      <c r="BI43" s="146"/>
      <c r="BJ43" s="145">
        <f>+IF(DIM!$AD$15=$H$15,BJ42,BK42)</f>
        <v>6.4</v>
      </c>
      <c r="BK43" s="146"/>
      <c r="BL43" s="145">
        <f>+IF(DIM!$AD$15=$H$15,BL42,BM42)</f>
        <v>6.5</v>
      </c>
      <c r="BM43" s="146"/>
    </row>
    <row r="44" spans="2:65" hidden="1" x14ac:dyDescent="0.2">
      <c r="B44" t="str">
        <f>IF(E45&gt;20,"hauteur hourdis non disponible",IF(E45=12,"predal-seacoustic hauteur hourdis 15 mini ",+"plancher"&amp;" "&amp;"PREDAL-SEACOUSTIC"&amp;" "&amp;E45&amp;" "&amp;"+"&amp;" "&amp;G44))</f>
        <v xml:space="preserve">predal-seacoustic hauteur hourdis 15 mini </v>
      </c>
      <c r="F44" t="s">
        <v>48</v>
      </c>
      <c r="G44" s="114">
        <f>+DIM!S31</f>
        <v>5</v>
      </c>
      <c r="K44" s="115">
        <f>+HLOOKUP(G44,H14:O43,30,FALSE)</f>
        <v>5</v>
      </c>
      <c r="Q44" s="114">
        <f>+DIM!S31</f>
        <v>5</v>
      </c>
      <c r="U44" s="115" t="s">
        <v>101</v>
      </c>
      <c r="AA44" s="114">
        <f>+DIM!S31</f>
        <v>5</v>
      </c>
      <c r="AE44" s="115">
        <f>+HLOOKUP(AA44,AB14:AI43,30,FALSE)</f>
        <v>5.8</v>
      </c>
      <c r="AK44" s="114">
        <f>+AA44</f>
        <v>5</v>
      </c>
      <c r="AO44" s="115">
        <f>+HLOOKUP(AK44,AL14:AS43,30,FALSE)</f>
        <v>5.5</v>
      </c>
      <c r="AU44" s="113">
        <f>+AK44</f>
        <v>5</v>
      </c>
      <c r="AY44" s="115">
        <f>+HLOOKUP(AU44,AV14:BC43,30,FALSE)</f>
        <v>6.9</v>
      </c>
      <c r="BE44" s="114">
        <f>+AU44</f>
        <v>5</v>
      </c>
      <c r="BI44" s="115">
        <f>+HLOOKUP(BE44,BF14:BM43,30,FALSE)</f>
        <v>6.4</v>
      </c>
    </row>
    <row r="45" spans="2:65" hidden="1" x14ac:dyDescent="0.2">
      <c r="E45">
        <f>+DIM!Q31</f>
        <v>12</v>
      </c>
      <c r="F45" t="s">
        <v>65</v>
      </c>
      <c r="G45" t="str">
        <f>IF(E45&gt;20,"hauteur hourdis non disponible",IF(E45=12,IF(G46=60,"hauteur hourdis 15 mini pour REI60",+"plancher"&amp;" "&amp;"EBS"&amp;" "&amp;E45&amp;" "&amp;"+" &amp;" "&amp;G44),+"plancher"&amp;" "&amp;"EBS"&amp;" "&amp;E45&amp;" "&amp;"+" &amp;" "&amp;G44))</f>
        <v>plancher EBS 12 + 5</v>
      </c>
      <c r="K45" s="116" t="str">
        <f>+K10&amp;"+"&amp;G44</f>
        <v>12+5</v>
      </c>
      <c r="U45" s="116" t="str">
        <f>+U10&amp;"+"&amp;Q44</f>
        <v>12+5</v>
      </c>
      <c r="AE45" s="116" t="str">
        <f>+AE10&amp;"+"&amp;AA44</f>
        <v>15+5</v>
      </c>
      <c r="AO45" s="116" t="str">
        <f>+AO10&amp;"+"&amp;AK44</f>
        <v>15+5</v>
      </c>
      <c r="AY45" s="116" t="str">
        <f>+AY10&amp;"+"&amp;AU44</f>
        <v>20+5</v>
      </c>
      <c r="BI45" s="116" t="str">
        <f>+BI10&amp;"+"&amp;BE44</f>
        <v>20+5</v>
      </c>
    </row>
    <row r="46" spans="2:65" hidden="1" x14ac:dyDescent="0.2">
      <c r="F46" t="s">
        <v>61</v>
      </c>
      <c r="G46">
        <f>+DIM!L22</f>
        <v>30</v>
      </c>
      <c r="K46" s="111">
        <f>+HLOOKUP(G44,H14:O40,27,FALSE)</f>
        <v>188</v>
      </c>
      <c r="U46" s="111">
        <f>+HLOOKUP(Q44,R14:Y40,24,FALSE)</f>
        <v>0</v>
      </c>
      <c r="AE46" s="111">
        <f>+HLOOKUP(AA44,AB14:AI40,27,FALSE)</f>
        <v>211</v>
      </c>
      <c r="AO46" s="111">
        <f>+HLOOKUP(AK44,AL14:AS40,27,FALSE)</f>
        <v>211</v>
      </c>
      <c r="AY46" s="111">
        <f>+HLOOKUP(AU44,AV14:BC40,27,FALSE)</f>
        <v>272</v>
      </c>
      <c r="BI46" s="111">
        <f>+HLOOKUP(BE44,BF14:BM40,27,FALSE)</f>
        <v>272</v>
      </c>
    </row>
    <row r="47" spans="2:65" hidden="1" x14ac:dyDescent="0.2">
      <c r="F47">
        <v>12</v>
      </c>
      <c r="G47">
        <f>+IF($G$46=30,K44,U44)</f>
        <v>5</v>
      </c>
      <c r="H47">
        <f>+IF($G$46=30,K46,U46)</f>
        <v>188</v>
      </c>
      <c r="I47">
        <f>+IF($G$46=30,K47,U47)</f>
        <v>62.5</v>
      </c>
      <c r="K47" s="111">
        <f>+HLOOKUP(G44,H14:O41,28,FALSE)</f>
        <v>62.5</v>
      </c>
      <c r="U47" s="111">
        <f>+HLOOKUP(Q44,R14:Y41,25,FALSE)</f>
        <v>0</v>
      </c>
      <c r="AE47" s="111">
        <f>+HLOOKUP(AA44,AB14:AI41,28,FALSE)</f>
        <v>70</v>
      </c>
      <c r="AO47" s="111">
        <f>+HLOOKUP(AK44,AL14:AS41,28,FALSE)</f>
        <v>70</v>
      </c>
      <c r="AY47" s="111">
        <f>+HLOOKUP(AU44,AV14:BC41,28,FALSE)</f>
        <v>86</v>
      </c>
      <c r="BI47" s="111">
        <f>+HLOOKUP(BE44,BF14:BM41,28,FALSE)</f>
        <v>86</v>
      </c>
    </row>
    <row r="48" spans="2:65" hidden="1" x14ac:dyDescent="0.2">
      <c r="F48">
        <v>15</v>
      </c>
      <c r="G48">
        <f>+IF($G$46=30,AE44,AO44)</f>
        <v>5.8</v>
      </c>
      <c r="H48">
        <f>+IF($G$46=30,AE46,AO46)</f>
        <v>211</v>
      </c>
      <c r="I48">
        <f>+IF($G$46=30,AE47,AO47)</f>
        <v>70</v>
      </c>
    </row>
    <row r="49" spans="5:65" ht="19.5" hidden="1" x14ac:dyDescent="0.35">
      <c r="F49">
        <v>20</v>
      </c>
      <c r="G49">
        <f>+IF($G$46=30,AY44,BI44)</f>
        <v>6.9</v>
      </c>
      <c r="H49">
        <f>+IF($G$46=30,AY46,BI46)</f>
        <v>272</v>
      </c>
      <c r="I49">
        <f>+IF($G$46=30,AY47,BI47)</f>
        <v>86</v>
      </c>
      <c r="K49" s="110">
        <v>12</v>
      </c>
      <c r="U49" s="110">
        <v>12</v>
      </c>
      <c r="AE49" s="110">
        <v>15</v>
      </c>
      <c r="AF49" s="110" t="s">
        <v>96</v>
      </c>
      <c r="AO49" s="110">
        <v>15</v>
      </c>
      <c r="AP49" s="110" t="s">
        <v>97</v>
      </c>
      <c r="AY49" s="110">
        <v>20</v>
      </c>
      <c r="AZ49" s="110" t="s">
        <v>96</v>
      </c>
      <c r="BI49" s="110">
        <v>20</v>
      </c>
      <c r="BJ49" s="110" t="s">
        <v>97</v>
      </c>
    </row>
    <row r="50" spans="5:65" hidden="1" x14ac:dyDescent="0.2">
      <c r="E50" t="s">
        <v>70</v>
      </c>
      <c r="F50" t="s">
        <v>74</v>
      </c>
      <c r="G50">
        <f>IF(E45&gt;20,"--",+VLOOKUP(DIM!Q31,F47:I49,2,FALSE))</f>
        <v>5</v>
      </c>
      <c r="K50" s="111" t="s">
        <v>78</v>
      </c>
      <c r="U50" s="111" t="s">
        <v>83</v>
      </c>
      <c r="AE50" s="111" t="s">
        <v>84</v>
      </c>
      <c r="AO50" s="111" t="s">
        <v>84</v>
      </c>
      <c r="AY50" s="111" t="s">
        <v>84</v>
      </c>
      <c r="BI50" s="111" t="s">
        <v>78</v>
      </c>
    </row>
    <row r="51" spans="5:65" hidden="1" x14ac:dyDescent="0.2">
      <c r="F51" t="s">
        <v>75</v>
      </c>
      <c r="G51">
        <f>IF(E45&gt;20,0,+VLOOKUP(DIM!Q31,F47:I49,3,FALSE))</f>
        <v>188</v>
      </c>
    </row>
    <row r="52" spans="5:65" hidden="1" x14ac:dyDescent="0.2">
      <c r="F52" t="s">
        <v>72</v>
      </c>
      <c r="G52">
        <f>IF(E45&gt;20,0,+VLOOKUP(DIM!Q31,F47:I49,4,FALSE))</f>
        <v>62.5</v>
      </c>
    </row>
    <row r="53" spans="5:65" hidden="1" x14ac:dyDescent="0.2">
      <c r="F53" t="s">
        <v>98</v>
      </c>
    </row>
    <row r="54" spans="5:65" hidden="1" x14ac:dyDescent="0.2"/>
    <row r="55" spans="5:65" hidden="1" x14ac:dyDescent="0.2"/>
    <row r="56" spans="5:65" ht="19.5" hidden="1" x14ac:dyDescent="0.35">
      <c r="K56" s="110">
        <v>12</v>
      </c>
      <c r="L56" s="110" t="s">
        <v>87</v>
      </c>
      <c r="M56" s="110" t="s">
        <v>96</v>
      </c>
      <c r="U56" s="110">
        <v>12</v>
      </c>
      <c r="V56" s="110" t="s">
        <v>87</v>
      </c>
      <c r="AE56" s="110">
        <v>15</v>
      </c>
      <c r="AF56" s="110" t="s">
        <v>87</v>
      </c>
      <c r="AG56" s="110" t="s">
        <v>96</v>
      </c>
      <c r="AO56" s="110">
        <v>15</v>
      </c>
      <c r="AP56" s="110" t="s">
        <v>87</v>
      </c>
      <c r="AQ56" s="110" t="s">
        <v>97</v>
      </c>
      <c r="AY56" s="110">
        <v>20</v>
      </c>
      <c r="AZ56" s="110" t="s">
        <v>87</v>
      </c>
      <c r="BA56" s="110" t="s">
        <v>96</v>
      </c>
      <c r="BI56" s="110">
        <v>20</v>
      </c>
      <c r="BJ56" s="110" t="s">
        <v>87</v>
      </c>
      <c r="BK56" s="110" t="s">
        <v>97</v>
      </c>
    </row>
    <row r="57" spans="5:65" hidden="1" x14ac:dyDescent="0.2">
      <c r="K57" s="111" t="s">
        <v>78</v>
      </c>
      <c r="U57" s="111" t="s">
        <v>83</v>
      </c>
      <c r="AE57" s="111" t="s">
        <v>84</v>
      </c>
      <c r="AO57" s="111" t="s">
        <v>78</v>
      </c>
      <c r="AY57" s="111" t="s">
        <v>84</v>
      </c>
      <c r="BI57" s="111" t="s">
        <v>78</v>
      </c>
    </row>
    <row r="58" spans="5:65" hidden="1" x14ac:dyDescent="0.2">
      <c r="H58">
        <v>137</v>
      </c>
      <c r="R58">
        <v>937</v>
      </c>
      <c r="T58">
        <v>179</v>
      </c>
      <c r="V58">
        <v>179</v>
      </c>
      <c r="X58">
        <v>189</v>
      </c>
      <c r="AB58">
        <v>158</v>
      </c>
      <c r="AD58">
        <v>179</v>
      </c>
      <c r="AF58">
        <v>189</v>
      </c>
      <c r="AH58">
        <v>189</v>
      </c>
      <c r="AL58">
        <v>158</v>
      </c>
      <c r="AN58">
        <v>179</v>
      </c>
      <c r="AP58">
        <v>189</v>
      </c>
      <c r="AR58">
        <v>189</v>
      </c>
      <c r="AV58">
        <v>189</v>
      </c>
      <c r="AX58">
        <v>189</v>
      </c>
      <c r="AZ58">
        <v>189</v>
      </c>
      <c r="BB58">
        <v>189</v>
      </c>
      <c r="BF58">
        <v>189</v>
      </c>
      <c r="BH58">
        <v>189</v>
      </c>
      <c r="BJ58">
        <v>189</v>
      </c>
      <c r="BL58">
        <v>189</v>
      </c>
    </row>
    <row r="59" spans="5:65" hidden="1" x14ac:dyDescent="0.2">
      <c r="H59" s="141" t="s">
        <v>112</v>
      </c>
      <c r="I59" s="141"/>
      <c r="J59" s="141" t="s">
        <v>113</v>
      </c>
      <c r="K59" s="141"/>
      <c r="L59" s="141" t="s">
        <v>114</v>
      </c>
      <c r="M59" s="141"/>
      <c r="N59" s="141" t="s">
        <v>115</v>
      </c>
      <c r="O59" s="141"/>
      <c r="R59" s="141" t="s">
        <v>112</v>
      </c>
      <c r="S59" s="141"/>
      <c r="T59" s="141" t="s">
        <v>113</v>
      </c>
      <c r="U59" s="141"/>
      <c r="V59" s="141" t="s">
        <v>114</v>
      </c>
      <c r="W59" s="141"/>
      <c r="X59" s="141" t="s">
        <v>115</v>
      </c>
      <c r="Y59" s="141"/>
      <c r="AB59" s="141" t="s">
        <v>116</v>
      </c>
      <c r="AC59" s="141"/>
      <c r="AD59" s="141" t="s">
        <v>117</v>
      </c>
      <c r="AE59" s="141"/>
      <c r="AF59" s="141" t="s">
        <v>118</v>
      </c>
      <c r="AG59" s="141"/>
      <c r="AH59" s="141" t="s">
        <v>119</v>
      </c>
      <c r="AI59" s="141"/>
      <c r="AL59" s="141" t="s">
        <v>116</v>
      </c>
      <c r="AM59" s="141"/>
      <c r="AN59" s="141" t="s">
        <v>117</v>
      </c>
      <c r="AO59" s="141"/>
      <c r="AP59" s="141" t="s">
        <v>118</v>
      </c>
      <c r="AQ59" s="141"/>
      <c r="AR59" s="141" t="s">
        <v>119</v>
      </c>
      <c r="AS59" s="141"/>
      <c r="AV59" s="141" t="s">
        <v>120</v>
      </c>
      <c r="AW59" s="141"/>
      <c r="AX59" s="141" t="s">
        <v>121</v>
      </c>
      <c r="AY59" s="141"/>
      <c r="AZ59" s="141" t="s">
        <v>122</v>
      </c>
      <c r="BA59" s="141"/>
      <c r="BB59" s="141" t="s">
        <v>123</v>
      </c>
      <c r="BC59" s="141"/>
      <c r="BF59" s="141" t="s">
        <v>120</v>
      </c>
      <c r="BG59" s="141"/>
      <c r="BH59" s="141" t="s">
        <v>121</v>
      </c>
      <c r="BI59" s="141"/>
      <c r="BJ59" s="141" t="s">
        <v>122</v>
      </c>
      <c r="BK59" s="141"/>
      <c r="BL59" s="141" t="s">
        <v>123</v>
      </c>
      <c r="BM59" s="141"/>
    </row>
    <row r="60" spans="5:65" hidden="1" x14ac:dyDescent="0.2">
      <c r="H60" s="141">
        <v>5</v>
      </c>
      <c r="I60" s="141"/>
      <c r="J60" s="141">
        <v>6</v>
      </c>
      <c r="K60" s="141"/>
      <c r="L60" s="141">
        <v>7</v>
      </c>
      <c r="M60" s="141"/>
      <c r="N60" s="141">
        <v>8</v>
      </c>
      <c r="O60" s="141"/>
      <c r="R60" s="141">
        <v>5</v>
      </c>
      <c r="S60" s="141"/>
      <c r="T60" s="141">
        <v>6</v>
      </c>
      <c r="U60" s="141"/>
      <c r="V60" s="141">
        <v>7</v>
      </c>
      <c r="W60" s="141"/>
      <c r="X60" s="141">
        <v>8</v>
      </c>
      <c r="Y60" s="141"/>
      <c r="AB60" s="141">
        <v>5</v>
      </c>
      <c r="AC60" s="141"/>
      <c r="AD60" s="141">
        <v>6</v>
      </c>
      <c r="AE60" s="141"/>
      <c r="AF60" s="141">
        <v>7</v>
      </c>
      <c r="AG60" s="141"/>
      <c r="AH60" s="141">
        <v>8</v>
      </c>
      <c r="AI60" s="141"/>
      <c r="AL60" s="141">
        <v>5</v>
      </c>
      <c r="AM60" s="141"/>
      <c r="AN60" s="141">
        <v>6</v>
      </c>
      <c r="AO60" s="141"/>
      <c r="AP60" s="141">
        <v>7</v>
      </c>
      <c r="AQ60" s="141"/>
      <c r="AR60" s="141">
        <v>8</v>
      </c>
      <c r="AS60" s="141"/>
      <c r="AV60" s="141">
        <v>5</v>
      </c>
      <c r="AW60" s="141"/>
      <c r="AX60" s="141">
        <v>6</v>
      </c>
      <c r="AY60" s="141"/>
      <c r="AZ60" s="141">
        <v>7</v>
      </c>
      <c r="BA60" s="141"/>
      <c r="BB60" s="141">
        <v>8</v>
      </c>
      <c r="BC60" s="141"/>
      <c r="BF60" s="141">
        <v>5</v>
      </c>
      <c r="BG60" s="141"/>
      <c r="BH60" s="141">
        <v>6</v>
      </c>
      <c r="BI60" s="141"/>
      <c r="BJ60" s="141">
        <v>7</v>
      </c>
      <c r="BK60" s="141"/>
      <c r="BL60" s="141">
        <v>8</v>
      </c>
      <c r="BM60" s="141"/>
    </row>
    <row r="61" spans="5:65" hidden="1" x14ac:dyDescent="0.2">
      <c r="H61" s="112" t="s">
        <v>24</v>
      </c>
      <c r="I61" s="112" t="s">
        <v>25</v>
      </c>
      <c r="J61" s="112" t="s">
        <v>24</v>
      </c>
      <c r="K61" s="112" t="s">
        <v>25</v>
      </c>
      <c r="L61" s="112" t="s">
        <v>24</v>
      </c>
      <c r="M61" s="112" t="s">
        <v>25</v>
      </c>
      <c r="N61" s="112" t="s">
        <v>24</v>
      </c>
      <c r="O61" s="112" t="s">
        <v>25</v>
      </c>
      <c r="R61" s="112" t="s">
        <v>24</v>
      </c>
      <c r="S61" s="112" t="s">
        <v>25</v>
      </c>
      <c r="T61" s="112" t="s">
        <v>24</v>
      </c>
      <c r="U61" s="112" t="s">
        <v>25</v>
      </c>
      <c r="V61" s="112" t="s">
        <v>24</v>
      </c>
      <c r="W61" s="112" t="s">
        <v>25</v>
      </c>
      <c r="X61" s="112" t="s">
        <v>24</v>
      </c>
      <c r="Y61" s="112" t="s">
        <v>25</v>
      </c>
      <c r="AB61" s="112" t="s">
        <v>24</v>
      </c>
      <c r="AC61" s="112" t="s">
        <v>25</v>
      </c>
      <c r="AD61" s="112" t="s">
        <v>24</v>
      </c>
      <c r="AE61" s="112" t="s">
        <v>25</v>
      </c>
      <c r="AF61" s="112" t="s">
        <v>24</v>
      </c>
      <c r="AG61" s="112" t="s">
        <v>25</v>
      </c>
      <c r="AH61" s="112" t="s">
        <v>24</v>
      </c>
      <c r="AI61" s="112" t="s">
        <v>25</v>
      </c>
      <c r="AL61" s="112" t="s">
        <v>24</v>
      </c>
      <c r="AM61" s="112" t="s">
        <v>25</v>
      </c>
      <c r="AN61" s="112" t="s">
        <v>24</v>
      </c>
      <c r="AO61" s="112" t="s">
        <v>25</v>
      </c>
      <c r="AP61" s="112" t="s">
        <v>24</v>
      </c>
      <c r="AQ61" s="112" t="s">
        <v>25</v>
      </c>
      <c r="AR61" s="112" t="s">
        <v>24</v>
      </c>
      <c r="AS61" s="112" t="s">
        <v>25</v>
      </c>
      <c r="AV61" s="112" t="s">
        <v>24</v>
      </c>
      <c r="AW61" s="112" t="s">
        <v>25</v>
      </c>
      <c r="AX61" s="112" t="s">
        <v>24</v>
      </c>
      <c r="AY61" s="112" t="s">
        <v>25</v>
      </c>
      <c r="AZ61" s="112" t="s">
        <v>24</v>
      </c>
      <c r="BA61" s="112" t="s">
        <v>25</v>
      </c>
      <c r="BB61" s="112" t="s">
        <v>24</v>
      </c>
      <c r="BC61" s="112" t="s">
        <v>25</v>
      </c>
      <c r="BF61" s="112" t="s">
        <v>24</v>
      </c>
      <c r="BG61" s="112" t="s">
        <v>25</v>
      </c>
      <c r="BH61" s="112" t="s">
        <v>24</v>
      </c>
      <c r="BI61" s="112" t="s">
        <v>25</v>
      </c>
      <c r="BJ61" s="112" t="s">
        <v>24</v>
      </c>
      <c r="BK61" s="112" t="s">
        <v>25</v>
      </c>
      <c r="BL61" s="112" t="s">
        <v>24</v>
      </c>
      <c r="BM61" s="112" t="s">
        <v>25</v>
      </c>
    </row>
    <row r="62" spans="5:65" hidden="1" x14ac:dyDescent="0.2">
      <c r="G62" t="s">
        <v>34</v>
      </c>
      <c r="Q62" t="s">
        <v>34</v>
      </c>
      <c r="AA62" t="s">
        <v>166</v>
      </c>
      <c r="AB62">
        <v>7.95</v>
      </c>
      <c r="AC62">
        <v>8.5500000000000007</v>
      </c>
      <c r="AD62">
        <v>8.4499999999999993</v>
      </c>
      <c r="AE62">
        <v>9</v>
      </c>
      <c r="AF62">
        <v>8.5500000000000007</v>
      </c>
      <c r="AG62">
        <v>9</v>
      </c>
      <c r="AH62">
        <v>8.6999999999999993</v>
      </c>
      <c r="AI62">
        <v>9</v>
      </c>
      <c r="AK62" t="s">
        <v>166</v>
      </c>
      <c r="AL62">
        <v>7.7</v>
      </c>
      <c r="AM62">
        <v>8.4</v>
      </c>
      <c r="AN62">
        <v>8.1999999999999993</v>
      </c>
      <c r="AO62">
        <v>8.6</v>
      </c>
      <c r="AP62">
        <v>8.4</v>
      </c>
      <c r="AQ62">
        <v>8.6999999999999993</v>
      </c>
      <c r="AR62">
        <v>8.3000000000000007</v>
      </c>
      <c r="AS62">
        <v>8.9</v>
      </c>
      <c r="AU62" t="s">
        <v>166</v>
      </c>
      <c r="AV62">
        <v>8.8000000000000007</v>
      </c>
      <c r="AW62">
        <v>9</v>
      </c>
      <c r="AX62">
        <v>9</v>
      </c>
      <c r="AY62">
        <v>9</v>
      </c>
      <c r="AZ62">
        <v>9</v>
      </c>
      <c r="BA62">
        <v>9</v>
      </c>
      <c r="BB62">
        <v>9</v>
      </c>
      <c r="BC62">
        <v>9</v>
      </c>
      <c r="BE62" t="s">
        <v>166</v>
      </c>
      <c r="BF62">
        <v>8.6</v>
      </c>
      <c r="BG62">
        <v>9</v>
      </c>
      <c r="BH62">
        <v>8.6999999999999993</v>
      </c>
      <c r="BI62">
        <v>9</v>
      </c>
      <c r="BJ62">
        <v>8.4</v>
      </c>
      <c r="BK62">
        <v>9</v>
      </c>
      <c r="BL62">
        <f>0.1+BJ62</f>
        <v>8.5</v>
      </c>
      <c r="BM62">
        <v>9</v>
      </c>
    </row>
    <row r="63" spans="5:65" hidden="1" x14ac:dyDescent="0.2">
      <c r="G63" t="s">
        <v>34</v>
      </c>
      <c r="Q63" t="s">
        <v>34</v>
      </c>
      <c r="AA63" t="s">
        <v>34</v>
      </c>
      <c r="AB63">
        <v>7.5</v>
      </c>
      <c r="AC63">
        <v>8.1</v>
      </c>
      <c r="AD63">
        <v>8</v>
      </c>
      <c r="AE63">
        <v>8.65</v>
      </c>
      <c r="AF63">
        <v>8.1</v>
      </c>
      <c r="AG63">
        <v>8.8000000000000007</v>
      </c>
      <c r="AH63">
        <v>8.3000000000000007</v>
      </c>
      <c r="AI63">
        <v>9</v>
      </c>
      <c r="AK63" t="s">
        <v>34</v>
      </c>
      <c r="AL63">
        <v>7.3</v>
      </c>
      <c r="AM63">
        <v>7.9</v>
      </c>
      <c r="AN63">
        <v>7.7</v>
      </c>
      <c r="AO63">
        <v>8.3000000000000007</v>
      </c>
      <c r="AP63">
        <v>7.8</v>
      </c>
      <c r="AQ63">
        <v>8.4</v>
      </c>
      <c r="AR63">
        <v>7.9</v>
      </c>
      <c r="AS63">
        <v>8.5</v>
      </c>
      <c r="AU63" t="s">
        <v>34</v>
      </c>
      <c r="AV63">
        <v>8.8000000000000007</v>
      </c>
      <c r="AW63">
        <v>9</v>
      </c>
      <c r="AX63">
        <v>9</v>
      </c>
      <c r="AY63">
        <v>9</v>
      </c>
      <c r="AZ63">
        <v>9</v>
      </c>
      <c r="BA63">
        <v>9</v>
      </c>
      <c r="BB63">
        <v>9</v>
      </c>
      <c r="BC63">
        <v>9</v>
      </c>
      <c r="BE63" t="s">
        <v>34</v>
      </c>
      <c r="BF63">
        <v>8.3000000000000007</v>
      </c>
      <c r="BG63">
        <v>8.9</v>
      </c>
      <c r="BH63">
        <v>8.4</v>
      </c>
      <c r="BI63">
        <v>9</v>
      </c>
      <c r="BJ63">
        <v>8.4</v>
      </c>
      <c r="BK63">
        <v>9</v>
      </c>
      <c r="BL63">
        <f>0.1+BJ63</f>
        <v>8.5</v>
      </c>
      <c r="BM63">
        <v>9</v>
      </c>
    </row>
    <row r="64" spans="5:65" hidden="1" x14ac:dyDescent="0.2">
      <c r="G64" t="s">
        <v>35</v>
      </c>
      <c r="Q64" t="s">
        <v>35</v>
      </c>
      <c r="AA64" t="s">
        <v>35</v>
      </c>
      <c r="AB64">
        <v>7.1</v>
      </c>
      <c r="AC64">
        <v>7.75</v>
      </c>
      <c r="AD64">
        <v>7.6</v>
      </c>
      <c r="AE64">
        <v>8.3000000000000007</v>
      </c>
      <c r="AF64">
        <v>7.7</v>
      </c>
      <c r="AG64">
        <v>8.4499999999999993</v>
      </c>
      <c r="AH64">
        <v>7.9</v>
      </c>
      <c r="AI64">
        <v>8.65</v>
      </c>
      <c r="AK64" t="s">
        <v>35</v>
      </c>
      <c r="AL64">
        <v>6.9</v>
      </c>
      <c r="AM64">
        <v>7.5</v>
      </c>
      <c r="AN64">
        <v>7.4</v>
      </c>
      <c r="AO64">
        <v>7.9</v>
      </c>
      <c r="AP64">
        <v>7.4</v>
      </c>
      <c r="AQ64">
        <v>8</v>
      </c>
      <c r="AR64">
        <v>7.5</v>
      </c>
      <c r="AS64">
        <v>8.1</v>
      </c>
      <c r="AU64" t="s">
        <v>35</v>
      </c>
      <c r="AV64">
        <v>8.4</v>
      </c>
      <c r="AW64">
        <v>9.1999999999999993</v>
      </c>
      <c r="AX64">
        <v>8.6</v>
      </c>
      <c r="AY64">
        <v>9</v>
      </c>
      <c r="AZ64">
        <v>8.8000000000000007</v>
      </c>
      <c r="BA64">
        <v>9</v>
      </c>
      <c r="BB64">
        <v>9</v>
      </c>
      <c r="BC64">
        <v>9</v>
      </c>
      <c r="BE64" t="s">
        <v>35</v>
      </c>
      <c r="BF64">
        <v>8</v>
      </c>
      <c r="BG64">
        <v>8.5</v>
      </c>
      <c r="BH64">
        <v>8</v>
      </c>
      <c r="BI64">
        <v>8.6</v>
      </c>
      <c r="BJ64">
        <v>8.1</v>
      </c>
      <c r="BK64">
        <v>8.6999999999999993</v>
      </c>
      <c r="BL64">
        <f t="shared" ref="BL64:BL85" si="5">0.1+BJ64</f>
        <v>8.1999999999999993</v>
      </c>
      <c r="BM64">
        <v>8.6999999999999993</v>
      </c>
    </row>
    <row r="65" spans="7:65" hidden="1" x14ac:dyDescent="0.2">
      <c r="G65" t="s">
        <v>36</v>
      </c>
      <c r="Q65" t="s">
        <v>36</v>
      </c>
      <c r="AA65" t="s">
        <v>36</v>
      </c>
      <c r="AB65">
        <v>6.8</v>
      </c>
      <c r="AC65">
        <v>7.45</v>
      </c>
      <c r="AD65">
        <v>7.25</v>
      </c>
      <c r="AE65">
        <v>7.95</v>
      </c>
      <c r="AF65">
        <v>7.4</v>
      </c>
      <c r="AG65">
        <v>8.1</v>
      </c>
      <c r="AH65">
        <v>7.6</v>
      </c>
      <c r="AI65">
        <v>8.3000000000000007</v>
      </c>
      <c r="AK65" t="s">
        <v>36</v>
      </c>
      <c r="AL65">
        <v>6.6</v>
      </c>
      <c r="AM65">
        <v>7.2</v>
      </c>
      <c r="AN65">
        <v>7</v>
      </c>
      <c r="AO65">
        <v>7.6</v>
      </c>
      <c r="AP65">
        <v>7.1</v>
      </c>
      <c r="AQ65">
        <v>7.7</v>
      </c>
      <c r="AR65">
        <v>7.2</v>
      </c>
      <c r="AS65">
        <v>7.8</v>
      </c>
      <c r="AU65" t="s">
        <v>36</v>
      </c>
      <c r="AV65">
        <v>8.0500000000000007</v>
      </c>
      <c r="AW65">
        <v>8.85</v>
      </c>
      <c r="AX65">
        <v>8.25</v>
      </c>
      <c r="AY65">
        <v>9</v>
      </c>
      <c r="AZ65">
        <v>8.4499999999999993</v>
      </c>
      <c r="BA65">
        <v>9</v>
      </c>
      <c r="BB65">
        <v>8.65</v>
      </c>
      <c r="BC65">
        <v>9</v>
      </c>
      <c r="BE65" t="s">
        <v>36</v>
      </c>
      <c r="BF65">
        <v>7.6</v>
      </c>
      <c r="BG65">
        <v>8.1999999999999993</v>
      </c>
      <c r="BH65">
        <v>7.7</v>
      </c>
      <c r="BI65">
        <v>8.3000000000000007</v>
      </c>
      <c r="BJ65">
        <v>7.8</v>
      </c>
      <c r="BK65">
        <v>8.4</v>
      </c>
      <c r="BL65">
        <f t="shared" si="5"/>
        <v>7.8999999999999995</v>
      </c>
      <c r="BM65">
        <v>8.4</v>
      </c>
    </row>
    <row r="66" spans="7:65" hidden="1" x14ac:dyDescent="0.2">
      <c r="G66" t="s">
        <v>37</v>
      </c>
      <c r="Q66" t="s">
        <v>37</v>
      </c>
      <c r="AA66" t="s">
        <v>37</v>
      </c>
      <c r="AB66">
        <v>6.55</v>
      </c>
      <c r="AC66">
        <v>7.2</v>
      </c>
      <c r="AD66">
        <v>7</v>
      </c>
      <c r="AE66">
        <v>7.7</v>
      </c>
      <c r="AF66">
        <v>7.1</v>
      </c>
      <c r="AG66">
        <v>7.85</v>
      </c>
      <c r="AH66">
        <v>7.3</v>
      </c>
      <c r="AI66">
        <v>8.0500000000000007</v>
      </c>
      <c r="AK66" t="s">
        <v>37</v>
      </c>
      <c r="AL66">
        <v>6.3</v>
      </c>
      <c r="AM66">
        <v>6.9</v>
      </c>
      <c r="AN66">
        <v>6.8</v>
      </c>
      <c r="AO66">
        <v>7.3</v>
      </c>
      <c r="AP66">
        <v>6.9</v>
      </c>
      <c r="AQ66">
        <v>7.4</v>
      </c>
      <c r="AR66">
        <v>7</v>
      </c>
      <c r="AS66">
        <v>7.5</v>
      </c>
      <c r="AU66" t="s">
        <v>37</v>
      </c>
      <c r="AV66">
        <v>7.8</v>
      </c>
      <c r="AW66">
        <v>8.5500000000000007</v>
      </c>
      <c r="AX66">
        <v>8</v>
      </c>
      <c r="AY66">
        <v>8.8000000000000007</v>
      </c>
      <c r="AZ66">
        <v>8.1999999999999993</v>
      </c>
      <c r="BA66">
        <v>9</v>
      </c>
      <c r="BB66">
        <v>8.4</v>
      </c>
      <c r="BC66">
        <v>9</v>
      </c>
      <c r="BE66" t="s">
        <v>37</v>
      </c>
      <c r="BF66">
        <v>7.4</v>
      </c>
      <c r="BG66">
        <v>7.9</v>
      </c>
      <c r="BH66">
        <v>7.5</v>
      </c>
      <c r="BI66">
        <v>8</v>
      </c>
      <c r="BJ66">
        <v>7.6</v>
      </c>
      <c r="BK66">
        <v>8.1</v>
      </c>
      <c r="BL66">
        <v>7.6</v>
      </c>
      <c r="BM66">
        <v>8.1</v>
      </c>
    </row>
    <row r="67" spans="7:65" hidden="1" x14ac:dyDescent="0.2">
      <c r="G67" t="s">
        <v>80</v>
      </c>
      <c r="Q67" t="s">
        <v>80</v>
      </c>
      <c r="AA67" t="s">
        <v>80</v>
      </c>
      <c r="AB67">
        <v>6.3</v>
      </c>
      <c r="AC67">
        <v>6.95</v>
      </c>
      <c r="AD67">
        <v>6.75</v>
      </c>
      <c r="AE67">
        <v>7.45</v>
      </c>
      <c r="AF67">
        <v>6.9</v>
      </c>
      <c r="AG67">
        <v>7.6</v>
      </c>
      <c r="AH67">
        <v>7.1</v>
      </c>
      <c r="AI67">
        <v>7.8</v>
      </c>
      <c r="AK67" t="s">
        <v>80</v>
      </c>
      <c r="AL67">
        <v>6.1</v>
      </c>
      <c r="AM67">
        <v>6.6</v>
      </c>
      <c r="AN67">
        <v>6.5</v>
      </c>
      <c r="AO67">
        <v>7</v>
      </c>
      <c r="AP67">
        <v>6.6</v>
      </c>
      <c r="AQ67">
        <v>7.1</v>
      </c>
      <c r="AR67">
        <v>6.7</v>
      </c>
      <c r="AS67">
        <v>7.2</v>
      </c>
      <c r="AU67" t="s">
        <v>80</v>
      </c>
      <c r="AV67">
        <v>7.55</v>
      </c>
      <c r="AW67">
        <v>8.3000000000000007</v>
      </c>
      <c r="AX67">
        <v>7.7</v>
      </c>
      <c r="AY67">
        <v>8.5</v>
      </c>
      <c r="AZ67">
        <v>7.9</v>
      </c>
      <c r="BA67">
        <v>8.6999999999999993</v>
      </c>
      <c r="BB67">
        <v>8.1</v>
      </c>
      <c r="BC67">
        <v>8.9</v>
      </c>
      <c r="BE67" t="s">
        <v>80</v>
      </c>
      <c r="BF67">
        <v>7.1</v>
      </c>
      <c r="BG67">
        <v>7.6</v>
      </c>
      <c r="BH67">
        <v>7</v>
      </c>
      <c r="BI67">
        <v>7.7</v>
      </c>
      <c r="BJ67">
        <v>7.1</v>
      </c>
      <c r="BK67">
        <v>7.8</v>
      </c>
      <c r="BL67">
        <v>7.3</v>
      </c>
      <c r="BM67">
        <v>7.8</v>
      </c>
    </row>
    <row r="68" spans="7:65" hidden="1" x14ac:dyDescent="0.2">
      <c r="G68" t="s">
        <v>38</v>
      </c>
      <c r="Q68" t="s">
        <v>38</v>
      </c>
      <c r="AA68" t="s">
        <v>38</v>
      </c>
      <c r="AB68">
        <v>5.95</v>
      </c>
      <c r="AC68">
        <v>6.55</v>
      </c>
      <c r="AD68">
        <v>6.35</v>
      </c>
      <c r="AE68">
        <v>7</v>
      </c>
      <c r="AF68">
        <v>6.5</v>
      </c>
      <c r="AG68">
        <v>7.2</v>
      </c>
      <c r="AH68">
        <v>6.65</v>
      </c>
      <c r="AI68">
        <v>7.4</v>
      </c>
      <c r="AK68" t="s">
        <v>38</v>
      </c>
      <c r="AL68">
        <v>5.7</v>
      </c>
      <c r="AM68">
        <v>6.2</v>
      </c>
      <c r="AN68">
        <v>6.1</v>
      </c>
      <c r="AO68">
        <v>6.5</v>
      </c>
      <c r="AP68">
        <v>6.2</v>
      </c>
      <c r="AQ68">
        <v>6.6</v>
      </c>
      <c r="AR68">
        <v>6.3</v>
      </c>
      <c r="AS68">
        <v>6.7</v>
      </c>
      <c r="AU68" t="s">
        <v>38</v>
      </c>
      <c r="AV68">
        <v>7.1</v>
      </c>
      <c r="AW68">
        <v>7.85</v>
      </c>
      <c r="AX68">
        <v>7.3</v>
      </c>
      <c r="AY68">
        <v>8.1</v>
      </c>
      <c r="AZ68">
        <v>7.5</v>
      </c>
      <c r="BA68">
        <v>8.3000000000000007</v>
      </c>
      <c r="BB68">
        <v>7.7</v>
      </c>
      <c r="BC68">
        <v>8.5</v>
      </c>
      <c r="BE68" t="s">
        <v>38</v>
      </c>
      <c r="BF68">
        <v>6.7</v>
      </c>
      <c r="BG68">
        <v>7.3</v>
      </c>
      <c r="BH68">
        <v>6.8</v>
      </c>
      <c r="BI68">
        <v>7.3</v>
      </c>
      <c r="BJ68">
        <v>6.9</v>
      </c>
      <c r="BK68">
        <v>7.4</v>
      </c>
      <c r="BL68">
        <v>6.9</v>
      </c>
      <c r="BM68">
        <v>7.4</v>
      </c>
    </row>
    <row r="69" spans="7:65" hidden="1" x14ac:dyDescent="0.2">
      <c r="G69" t="s">
        <v>39</v>
      </c>
      <c r="Q69" t="s">
        <v>39</v>
      </c>
      <c r="AA69" t="s">
        <v>39</v>
      </c>
      <c r="AB69">
        <v>5.65</v>
      </c>
      <c r="AC69">
        <v>6.25</v>
      </c>
      <c r="AD69">
        <v>6</v>
      </c>
      <c r="AE69">
        <v>6.65</v>
      </c>
      <c r="AF69">
        <v>6.15</v>
      </c>
      <c r="AG69">
        <v>6.85</v>
      </c>
      <c r="AH69">
        <v>6.35</v>
      </c>
      <c r="AI69">
        <v>7.05</v>
      </c>
      <c r="AK69" t="s">
        <v>39</v>
      </c>
      <c r="AL69">
        <v>5.3</v>
      </c>
      <c r="AM69">
        <v>5.8</v>
      </c>
      <c r="AN69">
        <v>5.7</v>
      </c>
      <c r="AO69">
        <v>6.2</v>
      </c>
      <c r="AP69">
        <v>5.8</v>
      </c>
      <c r="AQ69">
        <v>6.3</v>
      </c>
      <c r="AR69">
        <v>5.9</v>
      </c>
      <c r="AS69">
        <v>6.4</v>
      </c>
      <c r="AU69" t="s">
        <v>39</v>
      </c>
      <c r="AV69">
        <v>6.75</v>
      </c>
      <c r="AW69">
        <v>7.5</v>
      </c>
      <c r="AX69">
        <v>6.95</v>
      </c>
      <c r="AY69">
        <v>7.7</v>
      </c>
      <c r="AZ69">
        <v>7.05</v>
      </c>
      <c r="BA69">
        <v>7.9</v>
      </c>
      <c r="BB69">
        <v>7.25</v>
      </c>
      <c r="BC69">
        <v>8.1</v>
      </c>
      <c r="BE69" t="s">
        <v>39</v>
      </c>
      <c r="BF69">
        <v>6.3</v>
      </c>
      <c r="BG69">
        <v>7</v>
      </c>
      <c r="BH69">
        <v>6.4</v>
      </c>
      <c r="BI69">
        <v>6.9</v>
      </c>
      <c r="BJ69">
        <v>6.5</v>
      </c>
      <c r="BK69">
        <v>7</v>
      </c>
      <c r="BL69">
        <v>6.5</v>
      </c>
      <c r="BM69">
        <v>7</v>
      </c>
    </row>
    <row r="70" spans="7:65" hidden="1" x14ac:dyDescent="0.2">
      <c r="AA70" t="s">
        <v>167</v>
      </c>
      <c r="AB70">
        <v>7.35</v>
      </c>
      <c r="AC70">
        <v>7.8</v>
      </c>
      <c r="AD70">
        <v>7.85</v>
      </c>
      <c r="AE70">
        <v>8.35</v>
      </c>
      <c r="AF70">
        <v>8</v>
      </c>
      <c r="AG70">
        <v>8.5</v>
      </c>
      <c r="AH70">
        <v>8.15</v>
      </c>
      <c r="AI70">
        <v>8.6999999999999993</v>
      </c>
      <c r="AK70" t="s">
        <v>167</v>
      </c>
      <c r="AL70">
        <v>7.2</v>
      </c>
      <c r="AM70">
        <v>7.5</v>
      </c>
      <c r="AN70">
        <v>7.7</v>
      </c>
      <c r="AO70">
        <v>8.35</v>
      </c>
      <c r="AP70">
        <v>7.8</v>
      </c>
      <c r="AQ70">
        <v>8.3000000000000007</v>
      </c>
      <c r="AR70">
        <v>7.9</v>
      </c>
      <c r="AS70">
        <v>8.5</v>
      </c>
      <c r="AU70" t="s">
        <v>167</v>
      </c>
      <c r="AV70">
        <v>8.65</v>
      </c>
      <c r="AW70">
        <v>9</v>
      </c>
      <c r="AX70">
        <v>8.85</v>
      </c>
      <c r="AY70">
        <v>9</v>
      </c>
      <c r="AZ70">
        <v>9</v>
      </c>
      <c r="BA70">
        <v>9</v>
      </c>
      <c r="BB70">
        <v>9</v>
      </c>
      <c r="BC70">
        <v>9</v>
      </c>
      <c r="BE70" t="s">
        <v>167</v>
      </c>
      <c r="BF70">
        <v>8.3000000000000007</v>
      </c>
      <c r="BG70">
        <v>8.8000000000000007</v>
      </c>
      <c r="BH70">
        <v>8.4</v>
      </c>
      <c r="BI70">
        <v>9</v>
      </c>
      <c r="BJ70">
        <v>8.4</v>
      </c>
      <c r="BK70">
        <v>9</v>
      </c>
      <c r="BL70">
        <v>8.5</v>
      </c>
      <c r="BM70">
        <v>9</v>
      </c>
    </row>
    <row r="71" spans="7:65" hidden="1" x14ac:dyDescent="0.2">
      <c r="G71" t="s">
        <v>40</v>
      </c>
      <c r="Q71" t="s">
        <v>40</v>
      </c>
      <c r="AA71" t="s">
        <v>40</v>
      </c>
      <c r="AB71">
        <v>7</v>
      </c>
      <c r="AC71">
        <v>7.45</v>
      </c>
      <c r="AD71">
        <v>7.5</v>
      </c>
      <c r="AE71">
        <v>8</v>
      </c>
      <c r="AF71">
        <v>7.6</v>
      </c>
      <c r="AG71">
        <v>8.15</v>
      </c>
      <c r="AH71">
        <v>7.8</v>
      </c>
      <c r="AI71">
        <v>8.35</v>
      </c>
      <c r="AK71" t="s">
        <v>40</v>
      </c>
      <c r="AL71">
        <v>6.9</v>
      </c>
      <c r="AM71">
        <v>7.2</v>
      </c>
      <c r="AN71">
        <v>7.4</v>
      </c>
      <c r="AO71">
        <v>7.9</v>
      </c>
      <c r="AP71">
        <v>7.4</v>
      </c>
      <c r="AQ71">
        <v>8</v>
      </c>
      <c r="AR71">
        <v>7.5</v>
      </c>
      <c r="AS71">
        <v>8.1</v>
      </c>
      <c r="AU71" t="s">
        <v>40</v>
      </c>
      <c r="AV71">
        <v>8.3000000000000007</v>
      </c>
      <c r="AW71">
        <v>8.9</v>
      </c>
      <c r="AX71">
        <v>8.5</v>
      </c>
      <c r="AY71">
        <v>9</v>
      </c>
      <c r="AZ71">
        <v>8.6999999999999993</v>
      </c>
      <c r="BA71">
        <v>9</v>
      </c>
      <c r="BB71">
        <v>8.9</v>
      </c>
      <c r="BC71">
        <v>9</v>
      </c>
      <c r="BE71" t="s">
        <v>40</v>
      </c>
      <c r="BF71">
        <v>8</v>
      </c>
      <c r="BG71">
        <v>8.5</v>
      </c>
      <c r="BH71">
        <v>8</v>
      </c>
      <c r="BI71">
        <v>8.6</v>
      </c>
      <c r="BJ71">
        <v>8.1</v>
      </c>
      <c r="BK71">
        <v>8.6999999999999993</v>
      </c>
      <c r="BL71">
        <f t="shared" si="5"/>
        <v>8.1999999999999993</v>
      </c>
      <c r="BM71">
        <v>8.6999999999999993</v>
      </c>
    </row>
    <row r="72" spans="7:65" hidden="1" x14ac:dyDescent="0.2">
      <c r="G72" t="s">
        <v>41</v>
      </c>
      <c r="Q72" t="s">
        <v>41</v>
      </c>
      <c r="AA72" t="s">
        <v>41</v>
      </c>
      <c r="AB72">
        <v>6.75</v>
      </c>
      <c r="AC72">
        <v>7.2</v>
      </c>
      <c r="AD72">
        <v>7.2</v>
      </c>
      <c r="AE72">
        <v>7.7</v>
      </c>
      <c r="AF72">
        <v>7.3</v>
      </c>
      <c r="AG72">
        <v>7.85</v>
      </c>
      <c r="AH72">
        <v>7.5</v>
      </c>
      <c r="AI72">
        <v>8.0500000000000007</v>
      </c>
      <c r="AK72" t="s">
        <v>41</v>
      </c>
      <c r="AL72">
        <v>6.6</v>
      </c>
      <c r="AM72">
        <v>6.9</v>
      </c>
      <c r="AN72">
        <v>7</v>
      </c>
      <c r="AO72">
        <v>7.5</v>
      </c>
      <c r="AP72">
        <v>7.1</v>
      </c>
      <c r="AQ72">
        <v>7.6</v>
      </c>
      <c r="AR72">
        <v>7.2</v>
      </c>
      <c r="AS72">
        <v>7.7</v>
      </c>
      <c r="AU72" t="s">
        <v>41</v>
      </c>
      <c r="AV72">
        <v>8</v>
      </c>
      <c r="AW72">
        <v>8.6</v>
      </c>
      <c r="AX72">
        <v>8.15</v>
      </c>
      <c r="AY72">
        <v>8.8000000000000007</v>
      </c>
      <c r="AZ72">
        <v>8.35</v>
      </c>
      <c r="BA72">
        <v>9</v>
      </c>
      <c r="BB72">
        <v>8.5500000000000007</v>
      </c>
      <c r="BC72">
        <v>9</v>
      </c>
      <c r="BE72" t="s">
        <v>41</v>
      </c>
      <c r="BF72">
        <v>7.6</v>
      </c>
      <c r="BG72">
        <v>8.1999999999999993</v>
      </c>
      <c r="BH72">
        <v>7.7</v>
      </c>
      <c r="BI72">
        <v>8.3000000000000007</v>
      </c>
      <c r="BJ72">
        <v>7.8</v>
      </c>
      <c r="BK72">
        <v>8.4</v>
      </c>
      <c r="BL72">
        <v>8</v>
      </c>
      <c r="BM72">
        <v>8.4</v>
      </c>
    </row>
    <row r="73" spans="7:65" hidden="1" x14ac:dyDescent="0.2">
      <c r="G73" t="s">
        <v>42</v>
      </c>
      <c r="Q73" t="s">
        <v>42</v>
      </c>
      <c r="AA73" t="s">
        <v>42</v>
      </c>
      <c r="AB73">
        <v>6.5</v>
      </c>
      <c r="AC73">
        <v>6.95</v>
      </c>
      <c r="AD73">
        <v>6.9</v>
      </c>
      <c r="AE73">
        <v>7.45</v>
      </c>
      <c r="AF73">
        <v>7.05</v>
      </c>
      <c r="AG73">
        <v>7.6</v>
      </c>
      <c r="AH73">
        <v>7.25</v>
      </c>
      <c r="AI73">
        <v>7.8</v>
      </c>
      <c r="AK73" t="s">
        <v>42</v>
      </c>
      <c r="AL73">
        <v>6.4</v>
      </c>
      <c r="AM73">
        <v>6.6</v>
      </c>
      <c r="AN73">
        <v>6.8</v>
      </c>
      <c r="AO73">
        <v>7.2</v>
      </c>
      <c r="AP73">
        <v>6.9</v>
      </c>
      <c r="AQ73">
        <v>7.3</v>
      </c>
      <c r="AR73">
        <v>7</v>
      </c>
      <c r="AS73">
        <v>7.5</v>
      </c>
      <c r="AU73" t="s">
        <v>42</v>
      </c>
      <c r="AV73">
        <v>7.7</v>
      </c>
      <c r="AW73">
        <v>8.3000000000000007</v>
      </c>
      <c r="AX73">
        <v>7.9</v>
      </c>
      <c r="AY73">
        <v>8.5</v>
      </c>
      <c r="AZ73">
        <v>8.1</v>
      </c>
      <c r="BA73">
        <v>8.6999999999999993</v>
      </c>
      <c r="BB73">
        <v>8.3000000000000007</v>
      </c>
      <c r="BC73">
        <v>8.9</v>
      </c>
      <c r="BE73" t="s">
        <v>42</v>
      </c>
      <c r="BF73">
        <v>7.4</v>
      </c>
      <c r="BG73">
        <v>7.9</v>
      </c>
      <c r="BH73">
        <v>7.5</v>
      </c>
      <c r="BI73">
        <v>8</v>
      </c>
      <c r="BJ73">
        <v>7.6</v>
      </c>
      <c r="BK73">
        <v>8.1</v>
      </c>
      <c r="BL73">
        <v>7.8</v>
      </c>
      <c r="BM73">
        <v>8.1</v>
      </c>
    </row>
    <row r="74" spans="7:65" hidden="1" x14ac:dyDescent="0.2">
      <c r="G74" t="s">
        <v>43</v>
      </c>
      <c r="Q74" t="s">
        <v>43</v>
      </c>
      <c r="AA74" t="s">
        <v>43</v>
      </c>
      <c r="AB74">
        <v>6.25</v>
      </c>
      <c r="AC74">
        <v>6.75</v>
      </c>
      <c r="AD74">
        <v>6.7</v>
      </c>
      <c r="AE74">
        <v>7.2</v>
      </c>
      <c r="AF74">
        <v>6.8</v>
      </c>
      <c r="AG74">
        <v>7.4</v>
      </c>
      <c r="AH74">
        <v>7</v>
      </c>
      <c r="AI74">
        <v>7.6</v>
      </c>
      <c r="AK74" t="s">
        <v>43</v>
      </c>
      <c r="AL74">
        <v>6.1</v>
      </c>
      <c r="AM74">
        <v>6.4</v>
      </c>
      <c r="AN74">
        <v>6.5</v>
      </c>
      <c r="AO74">
        <v>7</v>
      </c>
      <c r="AP74">
        <v>6.6</v>
      </c>
      <c r="AQ74">
        <v>7.1</v>
      </c>
      <c r="AR74">
        <v>6.7</v>
      </c>
      <c r="AS74">
        <v>7.2</v>
      </c>
      <c r="AU74" t="s">
        <v>43</v>
      </c>
      <c r="AV74">
        <v>7.45</v>
      </c>
      <c r="AW74">
        <v>8.1</v>
      </c>
      <c r="AX74">
        <v>7.65</v>
      </c>
      <c r="AY74">
        <v>8.3000000000000007</v>
      </c>
      <c r="AZ74">
        <v>7.85</v>
      </c>
      <c r="BA74">
        <v>8.5</v>
      </c>
      <c r="BB74">
        <v>8.0500000000000007</v>
      </c>
      <c r="BC74">
        <v>8.6999999999999993</v>
      </c>
      <c r="BE74" t="s">
        <v>43</v>
      </c>
      <c r="BF74">
        <v>7.1</v>
      </c>
      <c r="BG74">
        <v>7.6</v>
      </c>
      <c r="BH74">
        <v>7.2</v>
      </c>
      <c r="BI74">
        <v>7.7</v>
      </c>
      <c r="BJ74">
        <v>7.3</v>
      </c>
      <c r="BK74">
        <v>7.8</v>
      </c>
      <c r="BL74">
        <v>7.5</v>
      </c>
      <c r="BM74">
        <v>7.8</v>
      </c>
    </row>
    <row r="75" spans="7:65" hidden="1" x14ac:dyDescent="0.2">
      <c r="G75" t="s">
        <v>81</v>
      </c>
      <c r="Q75" t="s">
        <v>81</v>
      </c>
      <c r="AA75" t="s">
        <v>81</v>
      </c>
      <c r="AB75">
        <v>6.05</v>
      </c>
      <c r="AC75">
        <v>6.55</v>
      </c>
      <c r="AD75">
        <v>6.5</v>
      </c>
      <c r="AE75">
        <v>7</v>
      </c>
      <c r="AF75">
        <v>6.6</v>
      </c>
      <c r="AG75">
        <v>7.2</v>
      </c>
      <c r="AH75">
        <v>6.8</v>
      </c>
      <c r="AI75">
        <v>7.4</v>
      </c>
      <c r="AK75" t="s">
        <v>81</v>
      </c>
      <c r="AL75">
        <v>5.9</v>
      </c>
      <c r="AM75">
        <v>6.2</v>
      </c>
      <c r="AN75">
        <v>6.3</v>
      </c>
      <c r="AO75">
        <v>6.5</v>
      </c>
      <c r="AP75">
        <v>6.4</v>
      </c>
      <c r="AQ75">
        <v>6.6</v>
      </c>
      <c r="AR75">
        <v>6.5</v>
      </c>
      <c r="AS75">
        <v>6.7</v>
      </c>
      <c r="AU75" t="s">
        <v>81</v>
      </c>
      <c r="AV75">
        <v>7.25</v>
      </c>
      <c r="AW75">
        <v>7.85</v>
      </c>
      <c r="AX75">
        <v>7.45</v>
      </c>
      <c r="AY75">
        <v>8.1</v>
      </c>
      <c r="AZ75">
        <v>7.65</v>
      </c>
      <c r="BA75">
        <v>8.3000000000000007</v>
      </c>
      <c r="BB75">
        <v>7.85</v>
      </c>
      <c r="BC75">
        <v>8.5</v>
      </c>
      <c r="BE75" t="s">
        <v>81</v>
      </c>
      <c r="BF75">
        <v>6.9</v>
      </c>
      <c r="BG75">
        <v>7.3</v>
      </c>
      <c r="BH75">
        <v>7</v>
      </c>
      <c r="BI75">
        <v>7.4</v>
      </c>
      <c r="BJ75">
        <v>7.1</v>
      </c>
      <c r="BK75">
        <v>7.5</v>
      </c>
      <c r="BL75">
        <f t="shared" si="5"/>
        <v>7.1999999999999993</v>
      </c>
      <c r="BM75">
        <v>7.5</v>
      </c>
    </row>
    <row r="76" spans="7:65" hidden="1" x14ac:dyDescent="0.2">
      <c r="G76" t="s">
        <v>44</v>
      </c>
      <c r="Q76" t="s">
        <v>44</v>
      </c>
      <c r="AA76" t="s">
        <v>44</v>
      </c>
      <c r="AB76">
        <v>5.75</v>
      </c>
      <c r="AC76">
        <v>6.25</v>
      </c>
      <c r="AD76">
        <v>6.1</v>
      </c>
      <c r="AE76">
        <v>6.65</v>
      </c>
      <c r="AF76">
        <v>6.25</v>
      </c>
      <c r="AG76">
        <v>6.85</v>
      </c>
      <c r="AH76">
        <v>6.45</v>
      </c>
      <c r="AI76">
        <v>7.05</v>
      </c>
      <c r="AK76" t="s">
        <v>44</v>
      </c>
      <c r="AL76">
        <v>5.5</v>
      </c>
      <c r="AM76">
        <v>5.8</v>
      </c>
      <c r="AN76">
        <v>5.9</v>
      </c>
      <c r="AO76">
        <v>6.2</v>
      </c>
      <c r="AP76">
        <v>6</v>
      </c>
      <c r="AQ76">
        <v>6.3</v>
      </c>
      <c r="AR76">
        <v>6.1</v>
      </c>
      <c r="AS76">
        <v>6.4</v>
      </c>
      <c r="AU76" t="s">
        <v>44</v>
      </c>
      <c r="AV76">
        <v>6.9</v>
      </c>
      <c r="AW76">
        <v>7.5</v>
      </c>
      <c r="AX76">
        <v>7.05</v>
      </c>
      <c r="AY76">
        <v>7.7</v>
      </c>
      <c r="AZ76">
        <v>7.25</v>
      </c>
      <c r="BA76">
        <v>7.9</v>
      </c>
      <c r="BB76">
        <v>7.45</v>
      </c>
      <c r="BC76">
        <v>8.1</v>
      </c>
      <c r="BE76" t="s">
        <v>44</v>
      </c>
      <c r="BF76">
        <v>6.5</v>
      </c>
      <c r="BG76">
        <v>6.9</v>
      </c>
      <c r="BH76">
        <v>6.6</v>
      </c>
      <c r="BI76">
        <v>7</v>
      </c>
      <c r="BJ76">
        <v>6.7</v>
      </c>
      <c r="BK76">
        <v>7.1</v>
      </c>
      <c r="BL76">
        <f t="shared" si="5"/>
        <v>6.8</v>
      </c>
      <c r="BM76">
        <v>7.1</v>
      </c>
    </row>
    <row r="77" spans="7:65" hidden="1" x14ac:dyDescent="0.2">
      <c r="G77" t="s">
        <v>67</v>
      </c>
      <c r="Q77" t="s">
        <v>67</v>
      </c>
      <c r="AA77" t="s">
        <v>67</v>
      </c>
      <c r="AB77">
        <v>5.45</v>
      </c>
      <c r="AC77">
        <v>5.95</v>
      </c>
      <c r="AD77">
        <v>5.85</v>
      </c>
      <c r="AE77">
        <v>6.4</v>
      </c>
      <c r="AF77">
        <v>6</v>
      </c>
      <c r="AG77">
        <v>6.55</v>
      </c>
      <c r="AH77">
        <v>6.15</v>
      </c>
      <c r="AI77">
        <v>6.75</v>
      </c>
      <c r="AK77" t="s">
        <v>67</v>
      </c>
      <c r="AL77">
        <v>5.2</v>
      </c>
      <c r="AM77">
        <v>5.6</v>
      </c>
      <c r="AN77">
        <v>5.5</v>
      </c>
      <c r="AO77">
        <v>6</v>
      </c>
      <c r="AP77">
        <v>5.6</v>
      </c>
      <c r="AQ77">
        <v>6.1</v>
      </c>
      <c r="AR77">
        <v>5.7</v>
      </c>
      <c r="AS77">
        <v>6.2</v>
      </c>
      <c r="AU77" t="s">
        <v>67</v>
      </c>
      <c r="AV77">
        <v>6.55</v>
      </c>
      <c r="AW77">
        <v>7.2</v>
      </c>
      <c r="AX77">
        <v>6.75</v>
      </c>
      <c r="AY77">
        <v>7.4</v>
      </c>
      <c r="AZ77">
        <v>6.95</v>
      </c>
      <c r="BA77">
        <v>7.6</v>
      </c>
      <c r="BB77">
        <v>7.15</v>
      </c>
      <c r="BC77">
        <v>7.8</v>
      </c>
      <c r="BE77" t="s">
        <v>67</v>
      </c>
      <c r="BF77">
        <v>6.1</v>
      </c>
      <c r="BG77">
        <v>6.6</v>
      </c>
      <c r="BH77">
        <v>6.2</v>
      </c>
      <c r="BI77">
        <v>6.7</v>
      </c>
      <c r="BJ77">
        <v>6.3</v>
      </c>
      <c r="BK77">
        <v>6.8</v>
      </c>
      <c r="BL77">
        <f t="shared" si="5"/>
        <v>6.3999999999999995</v>
      </c>
      <c r="BM77">
        <v>6.8</v>
      </c>
    </row>
    <row r="78" spans="7:65" hidden="1" x14ac:dyDescent="0.2">
      <c r="AA78" t="s">
        <v>168</v>
      </c>
      <c r="AB78">
        <v>6.75</v>
      </c>
      <c r="AC78">
        <v>7</v>
      </c>
      <c r="AD78">
        <v>7.2</v>
      </c>
      <c r="AE78">
        <v>7.5</v>
      </c>
      <c r="AF78">
        <v>7.35</v>
      </c>
      <c r="AG78">
        <v>7.65</v>
      </c>
      <c r="AH78">
        <v>7.5</v>
      </c>
      <c r="AI78">
        <v>7.85</v>
      </c>
      <c r="AK78" t="s">
        <v>168</v>
      </c>
      <c r="AL78">
        <v>6.8</v>
      </c>
      <c r="AM78">
        <v>7.2</v>
      </c>
      <c r="AN78">
        <v>7.3</v>
      </c>
      <c r="AO78">
        <v>7.8</v>
      </c>
      <c r="AP78">
        <v>7.4</v>
      </c>
      <c r="AQ78">
        <v>7.8</v>
      </c>
      <c r="AR78">
        <v>7.4</v>
      </c>
      <c r="AS78">
        <v>7.9</v>
      </c>
      <c r="AU78" t="s">
        <v>168</v>
      </c>
      <c r="AV78">
        <v>8</v>
      </c>
      <c r="AW78">
        <v>8.35</v>
      </c>
      <c r="AX78">
        <v>8.1999999999999993</v>
      </c>
      <c r="AY78">
        <v>8.6</v>
      </c>
      <c r="AZ78">
        <v>8.35</v>
      </c>
      <c r="BA78">
        <v>8.75</v>
      </c>
      <c r="BB78">
        <v>8.5</v>
      </c>
      <c r="BC78">
        <v>9</v>
      </c>
      <c r="BE78" t="s">
        <v>168</v>
      </c>
      <c r="BF78">
        <v>7.8</v>
      </c>
      <c r="BG78">
        <v>8.3000000000000007</v>
      </c>
      <c r="BH78">
        <v>7.9</v>
      </c>
      <c r="BI78">
        <v>8.4</v>
      </c>
      <c r="BJ78">
        <v>7.9</v>
      </c>
      <c r="BK78">
        <v>8.5</v>
      </c>
      <c r="BL78">
        <v>8</v>
      </c>
      <c r="BM78">
        <v>8.6</v>
      </c>
    </row>
    <row r="79" spans="7:65" hidden="1" x14ac:dyDescent="0.2">
      <c r="G79" t="s">
        <v>50</v>
      </c>
      <c r="Q79" t="s">
        <v>50</v>
      </c>
      <c r="AA79" t="s">
        <v>50</v>
      </c>
      <c r="AB79">
        <v>6.5</v>
      </c>
      <c r="AC79">
        <v>6.8</v>
      </c>
      <c r="AD79">
        <v>6.9</v>
      </c>
      <c r="AE79">
        <v>7.25</v>
      </c>
      <c r="AF79">
        <v>7.05</v>
      </c>
      <c r="AG79">
        <v>7.4</v>
      </c>
      <c r="AH79">
        <v>7.25</v>
      </c>
      <c r="AI79">
        <v>7.6</v>
      </c>
      <c r="AK79" t="s">
        <v>50</v>
      </c>
      <c r="AL79">
        <v>6.4</v>
      </c>
      <c r="AM79">
        <v>6.4</v>
      </c>
      <c r="AN79">
        <v>6.9</v>
      </c>
      <c r="AO79">
        <v>7.4</v>
      </c>
      <c r="AP79">
        <v>7</v>
      </c>
      <c r="AQ79">
        <v>7.5</v>
      </c>
      <c r="AR79">
        <v>7.1</v>
      </c>
      <c r="AS79">
        <v>7.6</v>
      </c>
      <c r="AU79" t="s">
        <v>50</v>
      </c>
      <c r="AV79">
        <v>7.7</v>
      </c>
      <c r="AW79">
        <v>8.1</v>
      </c>
      <c r="AX79">
        <v>7.9</v>
      </c>
      <c r="AY79">
        <v>8.3000000000000007</v>
      </c>
      <c r="AZ79">
        <v>8.1</v>
      </c>
      <c r="BA79">
        <v>8.5</v>
      </c>
      <c r="BB79">
        <v>8.3000000000000007</v>
      </c>
      <c r="BC79">
        <v>8.6999999999999993</v>
      </c>
      <c r="BE79" t="s">
        <v>50</v>
      </c>
      <c r="BF79">
        <v>7.5</v>
      </c>
      <c r="BG79">
        <v>8</v>
      </c>
      <c r="BH79">
        <v>7.6</v>
      </c>
      <c r="BI79">
        <v>8.1</v>
      </c>
      <c r="BJ79">
        <v>7.7</v>
      </c>
      <c r="BK79">
        <v>8.1999999999999993</v>
      </c>
      <c r="BL79">
        <v>7.7</v>
      </c>
      <c r="BM79">
        <v>8.1999999999999993</v>
      </c>
    </row>
    <row r="80" spans="7:65" hidden="1" x14ac:dyDescent="0.2">
      <c r="G80" t="s">
        <v>76</v>
      </c>
      <c r="Q80" t="s">
        <v>76</v>
      </c>
      <c r="AA80" t="s">
        <v>76</v>
      </c>
      <c r="AB80">
        <v>6.25</v>
      </c>
      <c r="AC80">
        <v>6.6</v>
      </c>
      <c r="AD80">
        <v>6.7</v>
      </c>
      <c r="AE80">
        <v>7</v>
      </c>
      <c r="AF80">
        <v>6.85</v>
      </c>
      <c r="AG80">
        <v>7.2</v>
      </c>
      <c r="AH80">
        <v>7</v>
      </c>
      <c r="AI80">
        <v>7.4</v>
      </c>
      <c r="AK80" t="s">
        <v>76</v>
      </c>
      <c r="AL80">
        <v>6.2</v>
      </c>
      <c r="AM80">
        <v>6.2</v>
      </c>
      <c r="AN80">
        <v>6.6</v>
      </c>
      <c r="AO80">
        <v>7.2</v>
      </c>
      <c r="AP80">
        <v>6.7</v>
      </c>
      <c r="AQ80">
        <v>7.3</v>
      </c>
      <c r="AR80">
        <v>6.8</v>
      </c>
      <c r="AS80">
        <v>7.4</v>
      </c>
      <c r="AU80" t="s">
        <v>76</v>
      </c>
      <c r="AV80">
        <v>7.5</v>
      </c>
      <c r="AW80">
        <v>7.9</v>
      </c>
      <c r="AX80">
        <v>7.65</v>
      </c>
      <c r="AY80">
        <v>8.1</v>
      </c>
      <c r="AZ80">
        <v>7.85</v>
      </c>
      <c r="BA80">
        <v>8.3000000000000007</v>
      </c>
      <c r="BB80">
        <v>8.0500000000000007</v>
      </c>
      <c r="BC80">
        <v>8.5</v>
      </c>
      <c r="BE80" t="s">
        <v>76</v>
      </c>
      <c r="BF80">
        <v>7.2</v>
      </c>
      <c r="BG80">
        <v>7.8</v>
      </c>
      <c r="BH80">
        <v>7.3</v>
      </c>
      <c r="BI80">
        <v>7.9</v>
      </c>
      <c r="BJ80">
        <v>7.4</v>
      </c>
      <c r="BK80">
        <v>8</v>
      </c>
      <c r="BL80">
        <f t="shared" si="5"/>
        <v>7.5</v>
      </c>
      <c r="BM80">
        <v>8</v>
      </c>
    </row>
    <row r="81" spans="2:65" hidden="1" x14ac:dyDescent="0.2">
      <c r="G81" t="s">
        <v>77</v>
      </c>
      <c r="Q81" t="s">
        <v>77</v>
      </c>
      <c r="AA81" t="s">
        <v>77</v>
      </c>
      <c r="AB81">
        <v>6.05</v>
      </c>
      <c r="AC81">
        <v>6.4</v>
      </c>
      <c r="AD81">
        <v>6.5</v>
      </c>
      <c r="AE81">
        <v>6.85</v>
      </c>
      <c r="AF81">
        <v>6.65</v>
      </c>
      <c r="AG81">
        <v>7</v>
      </c>
      <c r="AH81">
        <v>6.8</v>
      </c>
      <c r="AI81">
        <v>7.25</v>
      </c>
      <c r="AK81" t="s">
        <v>77</v>
      </c>
      <c r="AL81">
        <v>6</v>
      </c>
      <c r="AM81">
        <v>6</v>
      </c>
      <c r="AN81">
        <v>6.4</v>
      </c>
      <c r="AO81">
        <v>6.9</v>
      </c>
      <c r="AP81">
        <v>6.5</v>
      </c>
      <c r="AQ81">
        <v>7</v>
      </c>
      <c r="AR81">
        <v>6.6</v>
      </c>
      <c r="AS81">
        <v>7.1</v>
      </c>
      <c r="AU81" t="s">
        <v>77</v>
      </c>
      <c r="AV81">
        <v>7.25</v>
      </c>
      <c r="AW81">
        <v>7.7</v>
      </c>
      <c r="AX81">
        <v>7.45</v>
      </c>
      <c r="AY81">
        <v>7.9</v>
      </c>
      <c r="AZ81">
        <v>7.65</v>
      </c>
      <c r="BA81">
        <v>8.1</v>
      </c>
      <c r="BB81">
        <v>7.85</v>
      </c>
      <c r="BC81">
        <v>8.3000000000000007</v>
      </c>
      <c r="BE81" t="s">
        <v>77</v>
      </c>
      <c r="BF81">
        <v>7</v>
      </c>
      <c r="BG81">
        <v>7.5</v>
      </c>
      <c r="BH81">
        <v>7.1</v>
      </c>
      <c r="BI81">
        <v>7.6</v>
      </c>
      <c r="BJ81">
        <v>7.2</v>
      </c>
      <c r="BK81">
        <v>7.7</v>
      </c>
      <c r="BL81">
        <f t="shared" si="5"/>
        <v>7.3</v>
      </c>
      <c r="BM81">
        <v>7.7</v>
      </c>
    </row>
    <row r="82" spans="2:65" hidden="1" x14ac:dyDescent="0.2">
      <c r="G82" t="s">
        <v>46</v>
      </c>
      <c r="Q82" t="s">
        <v>46</v>
      </c>
      <c r="AA82" t="s">
        <v>46</v>
      </c>
      <c r="AB82">
        <v>5.9</v>
      </c>
      <c r="AC82">
        <v>6.25</v>
      </c>
      <c r="AD82">
        <v>6.3</v>
      </c>
      <c r="AE82">
        <v>6.65</v>
      </c>
      <c r="AF82">
        <v>6.45</v>
      </c>
      <c r="AG82">
        <v>6.85</v>
      </c>
      <c r="AH82">
        <v>6.65</v>
      </c>
      <c r="AI82">
        <v>7.05</v>
      </c>
      <c r="AK82" t="s">
        <v>46</v>
      </c>
      <c r="AL82">
        <v>5.8</v>
      </c>
      <c r="AM82">
        <v>5.8</v>
      </c>
      <c r="AN82">
        <v>6.2</v>
      </c>
      <c r="AO82">
        <v>6.7</v>
      </c>
      <c r="AP82">
        <v>6.3</v>
      </c>
      <c r="AQ82">
        <v>6.8</v>
      </c>
      <c r="AR82">
        <v>6.4</v>
      </c>
      <c r="AS82">
        <v>6.9</v>
      </c>
      <c r="AU82" t="s">
        <v>46</v>
      </c>
      <c r="AV82">
        <v>7.05</v>
      </c>
      <c r="AW82">
        <v>7.5</v>
      </c>
      <c r="AX82">
        <v>7.25</v>
      </c>
      <c r="AY82">
        <v>7.7</v>
      </c>
      <c r="AZ82">
        <v>7.45</v>
      </c>
      <c r="BA82">
        <v>7.9</v>
      </c>
      <c r="BB82">
        <v>7.65</v>
      </c>
      <c r="BC82">
        <v>8.1</v>
      </c>
      <c r="BE82" t="s">
        <v>46</v>
      </c>
      <c r="BF82">
        <v>6.8</v>
      </c>
      <c r="BG82">
        <v>7.2</v>
      </c>
      <c r="BH82">
        <v>6.9</v>
      </c>
      <c r="BI82">
        <v>7.3</v>
      </c>
      <c r="BJ82">
        <v>7</v>
      </c>
      <c r="BK82">
        <v>7.4</v>
      </c>
      <c r="BL82">
        <f t="shared" si="5"/>
        <v>7.1</v>
      </c>
      <c r="BM82">
        <v>7.4</v>
      </c>
    </row>
    <row r="83" spans="2:65" hidden="1" x14ac:dyDescent="0.2">
      <c r="G83" t="s">
        <v>82</v>
      </c>
      <c r="Q83" t="s">
        <v>82</v>
      </c>
      <c r="AA83" t="s">
        <v>82</v>
      </c>
      <c r="AB83">
        <v>5.75</v>
      </c>
      <c r="AC83">
        <v>6.1</v>
      </c>
      <c r="AD83">
        <v>6.1</v>
      </c>
      <c r="AE83">
        <v>6.5</v>
      </c>
      <c r="AF83">
        <v>6.3</v>
      </c>
      <c r="AG83">
        <v>6.7</v>
      </c>
      <c r="AH83">
        <v>6.45</v>
      </c>
      <c r="AI83">
        <v>6.9</v>
      </c>
      <c r="AK83" t="s">
        <v>82</v>
      </c>
      <c r="AL83">
        <v>5.6</v>
      </c>
      <c r="AM83">
        <v>5.7</v>
      </c>
      <c r="AN83">
        <v>6</v>
      </c>
      <c r="AO83">
        <v>6.5</v>
      </c>
      <c r="AP83">
        <v>6.1</v>
      </c>
      <c r="AQ83">
        <v>6.6</v>
      </c>
      <c r="AR83">
        <v>6.2</v>
      </c>
      <c r="AS83">
        <v>6.7</v>
      </c>
      <c r="AU83" t="s">
        <v>82</v>
      </c>
      <c r="AV83">
        <v>6.9</v>
      </c>
      <c r="AW83">
        <v>7.35</v>
      </c>
      <c r="AX83">
        <v>7.1</v>
      </c>
      <c r="AY83">
        <v>7.55</v>
      </c>
      <c r="AZ83">
        <v>7.1</v>
      </c>
      <c r="BA83">
        <v>7.75</v>
      </c>
      <c r="BB83">
        <v>7.3</v>
      </c>
      <c r="BC83">
        <v>7.95</v>
      </c>
      <c r="BE83" t="s">
        <v>82</v>
      </c>
      <c r="BF83">
        <v>6.6</v>
      </c>
      <c r="BG83">
        <v>6.9</v>
      </c>
      <c r="BH83">
        <v>6.7</v>
      </c>
      <c r="BI83">
        <v>7</v>
      </c>
      <c r="BJ83">
        <v>6.8</v>
      </c>
      <c r="BK83">
        <v>7.1</v>
      </c>
      <c r="BL83">
        <f t="shared" si="5"/>
        <v>6.8999999999999995</v>
      </c>
      <c r="BM83">
        <v>7.1</v>
      </c>
    </row>
    <row r="84" spans="2:65" hidden="1" x14ac:dyDescent="0.2">
      <c r="G84" t="s">
        <v>45</v>
      </c>
      <c r="Q84" t="s">
        <v>45</v>
      </c>
      <c r="AA84" t="s">
        <v>45</v>
      </c>
      <c r="AB84">
        <v>5.45</v>
      </c>
      <c r="AC84">
        <v>5.85</v>
      </c>
      <c r="AD84">
        <v>5.85</v>
      </c>
      <c r="AE84">
        <v>6.25</v>
      </c>
      <c r="AF84">
        <v>6</v>
      </c>
      <c r="AG84">
        <v>6.4</v>
      </c>
      <c r="AH84">
        <v>6.15</v>
      </c>
      <c r="AI84">
        <v>6.6</v>
      </c>
      <c r="AK84" t="s">
        <v>45</v>
      </c>
      <c r="AL84">
        <v>5.2</v>
      </c>
      <c r="AM84">
        <v>5.6</v>
      </c>
      <c r="AN84">
        <v>5.5</v>
      </c>
      <c r="AO84">
        <v>6.2</v>
      </c>
      <c r="AP84">
        <v>5.7</v>
      </c>
      <c r="AQ84">
        <v>6.4</v>
      </c>
      <c r="AR84">
        <v>5.9</v>
      </c>
      <c r="AS84">
        <v>6.5</v>
      </c>
      <c r="AU84" t="s">
        <v>45</v>
      </c>
      <c r="AV84">
        <v>6.6</v>
      </c>
      <c r="AW84">
        <v>7.05</v>
      </c>
      <c r="AX84">
        <v>6.75</v>
      </c>
      <c r="AY84">
        <v>7.25</v>
      </c>
      <c r="AZ84">
        <v>6.95</v>
      </c>
      <c r="BA84">
        <v>7.45</v>
      </c>
      <c r="BB84">
        <v>7.15</v>
      </c>
      <c r="BC84">
        <v>7.65</v>
      </c>
      <c r="BE84" t="s">
        <v>45</v>
      </c>
      <c r="BF84">
        <v>6.2</v>
      </c>
      <c r="BG84">
        <v>6.6</v>
      </c>
      <c r="BH84">
        <v>6.3</v>
      </c>
      <c r="BI84">
        <v>6.8</v>
      </c>
      <c r="BJ84">
        <v>6.4</v>
      </c>
      <c r="BK84">
        <v>6.9</v>
      </c>
      <c r="BL84">
        <f t="shared" si="5"/>
        <v>6.5</v>
      </c>
      <c r="BM84">
        <v>6.9</v>
      </c>
    </row>
    <row r="85" spans="2:65" hidden="1" x14ac:dyDescent="0.2">
      <c r="G85" t="s">
        <v>68</v>
      </c>
      <c r="Q85" t="s">
        <v>68</v>
      </c>
      <c r="AA85" t="s">
        <v>68</v>
      </c>
      <c r="AB85">
        <v>5.6</v>
      </c>
      <c r="AC85">
        <v>5.6</v>
      </c>
      <c r="AD85">
        <v>5.6</v>
      </c>
      <c r="AE85">
        <v>6</v>
      </c>
      <c r="AF85">
        <v>5.75</v>
      </c>
      <c r="AG85">
        <v>6.2</v>
      </c>
      <c r="AH85">
        <v>5.95</v>
      </c>
      <c r="AI85">
        <v>6.4</v>
      </c>
      <c r="AK85" t="s">
        <v>68</v>
      </c>
      <c r="AL85">
        <v>5</v>
      </c>
      <c r="AM85">
        <v>5.4</v>
      </c>
      <c r="AN85">
        <v>5.3</v>
      </c>
      <c r="AO85">
        <v>5.8</v>
      </c>
      <c r="AP85">
        <v>5.5</v>
      </c>
      <c r="AQ85">
        <v>5.9</v>
      </c>
      <c r="AR85">
        <v>5.7</v>
      </c>
      <c r="AS85">
        <v>6</v>
      </c>
      <c r="AU85" t="s">
        <v>68</v>
      </c>
      <c r="AV85">
        <v>6.3</v>
      </c>
      <c r="AW85">
        <v>6.8</v>
      </c>
      <c r="AX85">
        <v>6.5</v>
      </c>
      <c r="AY85">
        <v>7</v>
      </c>
      <c r="AZ85">
        <v>6.7</v>
      </c>
      <c r="BA85">
        <v>7.2</v>
      </c>
      <c r="BB85">
        <v>6.9</v>
      </c>
      <c r="BC85">
        <v>7.4</v>
      </c>
      <c r="BE85" t="s">
        <v>68</v>
      </c>
      <c r="BF85">
        <v>5.9</v>
      </c>
      <c r="BG85">
        <v>6.4</v>
      </c>
      <c r="BH85">
        <v>6</v>
      </c>
      <c r="BI85">
        <v>6.6</v>
      </c>
      <c r="BJ85">
        <v>6.1</v>
      </c>
      <c r="BK85">
        <v>6.6</v>
      </c>
      <c r="BL85">
        <f t="shared" si="5"/>
        <v>6.1999999999999993</v>
      </c>
      <c r="BM85">
        <v>6.6</v>
      </c>
    </row>
    <row r="86" spans="2:65" hidden="1" x14ac:dyDescent="0.2">
      <c r="G86" t="s">
        <v>71</v>
      </c>
      <c r="H86" s="142"/>
      <c r="I86" s="142"/>
      <c r="J86" s="142"/>
      <c r="K86" s="142"/>
      <c r="L86" s="142"/>
      <c r="M86" s="142"/>
      <c r="N86" s="142"/>
      <c r="O86" s="142"/>
      <c r="R86" s="142">
        <v>179</v>
      </c>
      <c r="S86" s="142"/>
      <c r="T86" s="142">
        <v>244</v>
      </c>
      <c r="U86" s="142"/>
      <c r="V86" s="142">
        <v>267</v>
      </c>
      <c r="W86" s="142"/>
      <c r="X86" s="142">
        <v>290</v>
      </c>
      <c r="Y86" s="142"/>
      <c r="AB86" s="142">
        <v>253</v>
      </c>
      <c r="AC86" s="142"/>
      <c r="AD86" s="142">
        <v>273</v>
      </c>
      <c r="AE86" s="142"/>
      <c r="AF86" s="142">
        <v>296</v>
      </c>
      <c r="AG86" s="142"/>
      <c r="AH86" s="142">
        <v>319</v>
      </c>
      <c r="AI86" s="142"/>
      <c r="AL86" s="142">
        <v>253</v>
      </c>
      <c r="AM86" s="142"/>
      <c r="AN86" s="142">
        <v>273</v>
      </c>
      <c r="AO86" s="142"/>
      <c r="AP86" s="142">
        <v>296</v>
      </c>
      <c r="AQ86" s="142"/>
      <c r="AR86" s="142">
        <v>319</v>
      </c>
      <c r="AS86" s="142"/>
      <c r="AV86" s="142">
        <v>322</v>
      </c>
      <c r="AW86" s="142"/>
      <c r="AX86" s="142">
        <v>345</v>
      </c>
      <c r="AY86" s="142"/>
      <c r="AZ86" s="142">
        <v>368</v>
      </c>
      <c r="BA86" s="142"/>
      <c r="BB86" s="142">
        <v>391</v>
      </c>
      <c r="BC86" s="142"/>
      <c r="BF86" s="142">
        <v>322</v>
      </c>
      <c r="BG86" s="142"/>
      <c r="BH86" s="142">
        <v>345</v>
      </c>
      <c r="BI86" s="142"/>
      <c r="BJ86" s="142">
        <v>368</v>
      </c>
      <c r="BK86" s="142"/>
      <c r="BL86" s="142">
        <v>391</v>
      </c>
      <c r="BM86" s="142"/>
    </row>
    <row r="87" spans="2:65" hidden="1" x14ac:dyDescent="0.2">
      <c r="G87" t="s">
        <v>72</v>
      </c>
      <c r="H87" s="142"/>
      <c r="I87" s="142"/>
      <c r="J87" s="142"/>
      <c r="K87" s="142"/>
      <c r="L87" s="142"/>
      <c r="M87" s="142"/>
      <c r="N87" s="142"/>
      <c r="O87" s="142"/>
      <c r="R87" s="142">
        <v>61</v>
      </c>
      <c r="S87" s="142"/>
      <c r="T87" s="142">
        <v>65.5</v>
      </c>
      <c r="U87" s="142"/>
      <c r="V87" s="142">
        <v>75.5</v>
      </c>
      <c r="W87" s="142"/>
      <c r="X87" s="142">
        <v>83.5</v>
      </c>
      <c r="Y87" s="142"/>
      <c r="AB87" s="142">
        <v>76</v>
      </c>
      <c r="AC87" s="142"/>
      <c r="AD87" s="142">
        <v>78.5</v>
      </c>
      <c r="AE87" s="142"/>
      <c r="AF87" s="142">
        <v>86</v>
      </c>
      <c r="AG87" s="142"/>
      <c r="AH87" s="142">
        <v>96</v>
      </c>
      <c r="AI87" s="142"/>
      <c r="AL87" s="142">
        <v>76</v>
      </c>
      <c r="AM87" s="142"/>
      <c r="AN87" s="142">
        <v>78.5</v>
      </c>
      <c r="AO87" s="142"/>
      <c r="AP87" s="142">
        <v>86</v>
      </c>
      <c r="AQ87" s="142"/>
      <c r="AR87" s="142">
        <v>96</v>
      </c>
      <c r="AS87" s="142"/>
      <c r="AV87" s="142">
        <v>93</v>
      </c>
      <c r="AW87" s="142"/>
      <c r="AX87" s="142">
        <v>103</v>
      </c>
      <c r="AY87" s="142"/>
      <c r="AZ87" s="142">
        <v>113</v>
      </c>
      <c r="BA87" s="142"/>
      <c r="BB87" s="142">
        <v>123</v>
      </c>
      <c r="BC87" s="142"/>
      <c r="BF87" s="142">
        <v>93</v>
      </c>
      <c r="BG87" s="142"/>
      <c r="BH87" s="142">
        <v>103</v>
      </c>
      <c r="BI87" s="142"/>
      <c r="BJ87" s="142">
        <v>113</v>
      </c>
      <c r="BK87" s="142"/>
      <c r="BL87" s="142">
        <v>123</v>
      </c>
      <c r="BM87" s="142"/>
    </row>
    <row r="88" spans="2:65" hidden="1" x14ac:dyDescent="0.2">
      <c r="E88" t="s">
        <v>49</v>
      </c>
      <c r="G88" t="str">
        <f>+DIM!$AK$20&amp;"+"&amp;DIM!$S$14</f>
        <v>251+150</v>
      </c>
      <c r="H88" s="113">
        <f>+VLOOKUP($G$88,$G$62:$O$85,2,FALSE)</f>
        <v>0</v>
      </c>
      <c r="I88" s="113">
        <f>+VLOOKUP($G$88,$G$62:$O$85,3,FALSE)</f>
        <v>0</v>
      </c>
      <c r="J88" s="113">
        <f>+VLOOKUP($G$88,$G$62:$O$85,4,FALSE)</f>
        <v>0</v>
      </c>
      <c r="K88" s="113">
        <f>+VLOOKUP($G$88,$G$62:$O$85,5,FALSE)</f>
        <v>0</v>
      </c>
      <c r="L88" s="113">
        <f>+VLOOKUP($G$88,$G$62:$O$85,6,FALSE)</f>
        <v>0</v>
      </c>
      <c r="M88" s="113">
        <f>+VLOOKUP($G$88,$G$62:$O$85,7,FALSE)</f>
        <v>0</v>
      </c>
      <c r="N88" s="113">
        <f>+VLOOKUP($G$88,$G$62:$O$85,8,FALSE)</f>
        <v>0</v>
      </c>
      <c r="O88" s="113">
        <f>+VLOOKUP($G$88,$G$62:$O$85,9,FALSE)</f>
        <v>0</v>
      </c>
      <c r="Q88" t="str">
        <f>+DIM!$AK$20&amp;"+"&amp;DIM!$S$14</f>
        <v>251+150</v>
      </c>
      <c r="R88" s="113">
        <f>+VLOOKUP($Q$88,$Q$62:$Y$85,2,FALSE)</f>
        <v>0</v>
      </c>
      <c r="S88" s="113">
        <f>+VLOOKUP($Q$88,$Q$62:$Y$85,3,FALSE)</f>
        <v>0</v>
      </c>
      <c r="T88" s="113">
        <f>+VLOOKUP($Q$88,$Q$62:$Y$85,4,FALSE)</f>
        <v>0</v>
      </c>
      <c r="U88" s="113">
        <f>+VLOOKUP($Q$88,$Q$62:$Y$85,5,FALSE)</f>
        <v>0</v>
      </c>
      <c r="V88" s="113">
        <f>+VLOOKUP($Q$88,$Q$62:$Y$85,6,FALSE)</f>
        <v>0</v>
      </c>
      <c r="W88" s="113">
        <f>+VLOOKUP($Q$88,$Q$62:$Y$85,7,FALSE)</f>
        <v>0</v>
      </c>
      <c r="X88" s="113">
        <f>+VLOOKUP($Q$88,$Q$62:$Y$85,8,FALSE)</f>
        <v>0</v>
      </c>
      <c r="Y88" s="113">
        <f>+VLOOKUP($Q$88,$Q$62:$Y$85,9,FALSE)</f>
        <v>0</v>
      </c>
      <c r="AA88" t="str">
        <f>+DIM!$AK$20&amp;"+"&amp;DIM!$S$14</f>
        <v>251+150</v>
      </c>
      <c r="AB88" s="113">
        <f>+VLOOKUP($AA$88,$AA$62:$AI$87,2,FALSE)</f>
        <v>6.55</v>
      </c>
      <c r="AC88" s="113">
        <f>+VLOOKUP($AA$88,$AA$62:$AI$87,3,FALSE)</f>
        <v>7.2</v>
      </c>
      <c r="AD88" s="113">
        <f>+VLOOKUP($AA$88,$AA$62:$AI$87,4,FALSE)</f>
        <v>7</v>
      </c>
      <c r="AE88" s="113">
        <f>+VLOOKUP($AA$88,$AA$62:$AI$87,5,FALSE)</f>
        <v>7.7</v>
      </c>
      <c r="AF88" s="113">
        <f>+VLOOKUP($AA$88,$AA$62:$AI$87,6,FALSE)</f>
        <v>7.1</v>
      </c>
      <c r="AG88" s="113">
        <f>+VLOOKUP($AA$88,$AA$62:$AI$87,7,FALSE)</f>
        <v>7.85</v>
      </c>
      <c r="AH88" s="113">
        <f>+VLOOKUP($AA$88,$AA$62:$AI$87,8,FALSE)</f>
        <v>7.3</v>
      </c>
      <c r="AI88" s="113">
        <f>+VLOOKUP($AA$88,$AA$62:$AI$87,9,FALSE)</f>
        <v>8.0500000000000007</v>
      </c>
      <c r="AK88" t="str">
        <f>+DIM!$AK$20&amp;"+"&amp;DIM!$S$14</f>
        <v>251+150</v>
      </c>
      <c r="AL88" s="113">
        <f>+VLOOKUP($AK$88,$AK$62:$AS$87,2,FALSE)</f>
        <v>6.3</v>
      </c>
      <c r="AM88" s="113">
        <f>+VLOOKUP($AK$88,$AK$62:$AS$87,3,FALSE)</f>
        <v>6.9</v>
      </c>
      <c r="AN88" s="113">
        <f>+VLOOKUP($AK$88,$AK$62:$AS$87,4,FALSE)</f>
        <v>6.8</v>
      </c>
      <c r="AO88" s="113">
        <f>+VLOOKUP($AK$88,$AK$62:$AS$87,5,FALSE)</f>
        <v>7.3</v>
      </c>
      <c r="AP88" s="113">
        <f>+VLOOKUP($AK$88,$AK$62:$AS$87,6,FALSE)</f>
        <v>6.9</v>
      </c>
      <c r="AQ88" s="113">
        <f>+VLOOKUP($AK$88,$AK$62:$AS$87,7,FALSE)</f>
        <v>7.4</v>
      </c>
      <c r="AR88" s="113">
        <f>+VLOOKUP($AK$88,$AK$62:$AS$87,8,FALSE)</f>
        <v>7</v>
      </c>
      <c r="AS88" s="113">
        <f>+VLOOKUP($AK$88,$AK$62:$AS$87,9,FALSE)</f>
        <v>7.5</v>
      </c>
      <c r="AU88" t="str">
        <f>+DIM!$AK$20&amp;"+"&amp;DIM!$S$14</f>
        <v>251+150</v>
      </c>
      <c r="AV88" s="113">
        <f>+VLOOKUP($AU$88,$AU$62:$BC$87,2,FALSE)</f>
        <v>7.8</v>
      </c>
      <c r="AW88" s="113">
        <f>+VLOOKUP($AU$88,$AU$62:$BC$87,3,FALSE)</f>
        <v>8.5500000000000007</v>
      </c>
      <c r="AX88" s="113">
        <f>+VLOOKUP($AU$88,$AU$62:$BC$87,4,FALSE)</f>
        <v>8</v>
      </c>
      <c r="AY88" s="113">
        <f>+VLOOKUP($AU$88,$AU$62:$BC$87,5,FALSE)</f>
        <v>8.8000000000000007</v>
      </c>
      <c r="AZ88" s="113">
        <f>+VLOOKUP($AU$88,$AU$62:$BC$87,6,FALSE)</f>
        <v>8.1999999999999993</v>
      </c>
      <c r="BA88" s="113">
        <f>+VLOOKUP($AU$88,$AU$62:$BC$87,7,FALSE)</f>
        <v>9</v>
      </c>
      <c r="BB88" s="113">
        <f>+VLOOKUP($AU$88,$AU$62:$BC$87,8,FALSE)</f>
        <v>8.4</v>
      </c>
      <c r="BC88" s="113">
        <f>+VLOOKUP($AU$88,$AU$62:$BC$87,9,FALSE)</f>
        <v>9</v>
      </c>
      <c r="BE88" t="str">
        <f>+DIM!$AK$20&amp;"+"&amp;DIM!$S$14</f>
        <v>251+150</v>
      </c>
      <c r="BF88" s="113">
        <f>+VLOOKUP($BE$88,$BE$62:$BM$85,2,FALSE)</f>
        <v>7.4</v>
      </c>
      <c r="BG88" s="113">
        <f>+VLOOKUP($BE$88,$BE$62:$BM$85,3,FALSE)</f>
        <v>7.9</v>
      </c>
      <c r="BH88" s="113">
        <f>+VLOOKUP($BE$88,$BE$62:$BM$85,4,FALSE)</f>
        <v>7.5</v>
      </c>
      <c r="BI88" s="113">
        <f>+VLOOKUP($BE$88,$BE$62:$BM$85,5,FALSE)</f>
        <v>8</v>
      </c>
      <c r="BJ88" s="113">
        <f>+VLOOKUP($BE$88,$BE$62:$BM$85,6,FALSE)</f>
        <v>7.6</v>
      </c>
      <c r="BK88" s="113">
        <f>+VLOOKUP($BE$88,$BE$62:$BM$85,7,FALSE)</f>
        <v>8.1</v>
      </c>
      <c r="BL88" s="113">
        <f>+VLOOKUP($BE$88,$BE$62:$BM$85,8,FALSE)</f>
        <v>7.6</v>
      </c>
      <c r="BM88" s="113">
        <f>+VLOOKUP($BE$88,$BE$62:$BM$85,9,FALSE)</f>
        <v>8.1</v>
      </c>
    </row>
    <row r="89" spans="2:65" hidden="1" x14ac:dyDescent="0.2">
      <c r="F89" t="s">
        <v>47</v>
      </c>
      <c r="G89">
        <f>+DIM!AD61</f>
        <v>0</v>
      </c>
      <c r="H89" s="141"/>
      <c r="I89" s="141"/>
      <c r="J89" s="141"/>
      <c r="K89" s="141"/>
      <c r="L89" s="141"/>
      <c r="M89" s="141"/>
      <c r="N89" s="141"/>
      <c r="O89" s="141"/>
      <c r="Q89" t="str">
        <f>+DIM!AD15</f>
        <v>AL</v>
      </c>
      <c r="R89" s="145">
        <f>+IF(DIM!$AD$15=$H$15,R88,S88)</f>
        <v>0</v>
      </c>
      <c r="S89" s="146"/>
      <c r="T89" s="145">
        <f>+IF(DIM!$AD$15=$H$15,T88,U88)</f>
        <v>0</v>
      </c>
      <c r="U89" s="146"/>
      <c r="V89" s="145">
        <f>+IF(DIM!$AD$15=$H$15,V88,W88)</f>
        <v>0</v>
      </c>
      <c r="W89" s="146"/>
      <c r="X89" s="145">
        <f>+IF(DIM!$AD$15=$H$15,X88,Y88)</f>
        <v>0</v>
      </c>
      <c r="Y89" s="146"/>
      <c r="AA89" t="str">
        <f>+DIM!AD15</f>
        <v>AL</v>
      </c>
      <c r="AB89" s="145">
        <f>+IF(DIM!$AD$15=$H$15,AB88,AC88)</f>
        <v>6.55</v>
      </c>
      <c r="AC89" s="146"/>
      <c r="AD89" s="145">
        <f>+IF(DIM!$AD$15=$H$15,AD88,AE88)</f>
        <v>7</v>
      </c>
      <c r="AE89" s="146"/>
      <c r="AF89" s="145">
        <f>+IF(DIM!$AD$15=$H$15,AF88,AG88)</f>
        <v>7.1</v>
      </c>
      <c r="AG89" s="146"/>
      <c r="AH89" s="145">
        <f>+IF(DIM!$AD$15=$H$15,AH88,AI88)</f>
        <v>7.3</v>
      </c>
      <c r="AI89" s="146"/>
      <c r="AK89" t="str">
        <f>+DIM!AD15</f>
        <v>AL</v>
      </c>
      <c r="AL89" s="145">
        <f>+IF(DIM!$AD$15=$H$15,AL88,AM88)</f>
        <v>6.3</v>
      </c>
      <c r="AM89" s="146"/>
      <c r="AN89" s="145">
        <f>+IF(DIM!$AD$15=$H$15,AN88,AO88)</f>
        <v>6.8</v>
      </c>
      <c r="AO89" s="146"/>
      <c r="AP89" s="145">
        <f>+IF(DIM!$AD$15=$H$15,AP88,AQ88)</f>
        <v>6.9</v>
      </c>
      <c r="AQ89" s="146"/>
      <c r="AR89" s="145">
        <f>+IF(DIM!$AD$15=$H$15,AR88,AS88)</f>
        <v>7</v>
      </c>
      <c r="AS89" s="146"/>
      <c r="AU89" t="str">
        <f>+AK89</f>
        <v>AL</v>
      </c>
      <c r="AV89" s="145">
        <f>+IF(DIM!$AD$15=$H$15,AV88,AW88)</f>
        <v>7.8</v>
      </c>
      <c r="AW89" s="146"/>
      <c r="AX89" s="145">
        <f>+IF(DIM!$AD$15=$H$15,AX88,AY88)</f>
        <v>8</v>
      </c>
      <c r="AY89" s="146"/>
      <c r="AZ89" s="145">
        <f>+IF(DIM!$AD$15=$H$15,AZ88,BA88)</f>
        <v>8.1999999999999993</v>
      </c>
      <c r="BA89" s="146"/>
      <c r="BB89" s="145">
        <f>+IF(DIM!$AD$15=$H$15,BB88,BC88)</f>
        <v>8.4</v>
      </c>
      <c r="BC89" s="146"/>
      <c r="BE89" t="str">
        <f>+AU89</f>
        <v>AL</v>
      </c>
      <c r="BF89" s="145">
        <f>+IF(DIM!$AD$15=$H$15,BF88,BG88)</f>
        <v>7.4</v>
      </c>
      <c r="BG89" s="146"/>
      <c r="BH89" s="145">
        <f>+IF(DIM!$AD$15=$H$15,BH88,BI88)</f>
        <v>7.5</v>
      </c>
      <c r="BI89" s="146"/>
      <c r="BJ89" s="145">
        <f>+IF(DIM!$AD$15=$H$15,BJ88,BK88)</f>
        <v>7.6</v>
      </c>
      <c r="BK89" s="146"/>
      <c r="BL89" s="145">
        <f>+IF(DIM!$AD$15=$H$15,BL88,BM88)</f>
        <v>7.6</v>
      </c>
      <c r="BM89" s="146"/>
    </row>
    <row r="90" spans="2:65" hidden="1" x14ac:dyDescent="0.2">
      <c r="B90" t="str">
        <f>IF(E91&gt;20,"hauteur hourdis non disponible",IF(E91=12,"hauteur hourdis 15 mini pour jumelage",+"plancher"&amp;" "&amp;"PREDAL-SACOUSTIC"&amp;" "&amp;E91&amp;" "&amp;"+" &amp;" "&amp;G90&amp;" jum"))</f>
        <v>hauteur hourdis 15 mini pour jumelage</v>
      </c>
      <c r="F90" t="s">
        <v>48</v>
      </c>
      <c r="G90" s="113">
        <f>+DIM!S31</f>
        <v>5</v>
      </c>
      <c r="K90" s="115">
        <v>0</v>
      </c>
      <c r="Q90" s="113">
        <f>+DIM!S31</f>
        <v>5</v>
      </c>
      <c r="U90" s="115">
        <f>+HLOOKUP(Q90,R60:Y89,27,FALSE)</f>
        <v>179</v>
      </c>
      <c r="AA90" s="113">
        <f>+DIM!S31</f>
        <v>5</v>
      </c>
      <c r="AE90" s="115">
        <f>+HLOOKUP(AA90,AB60:AI89,30,FALSE)</f>
        <v>6.55</v>
      </c>
      <c r="AK90" s="113">
        <f>+DIM!S31</f>
        <v>5</v>
      </c>
      <c r="AO90" s="115">
        <f>+HLOOKUP(AK90,AL60:AS89,30,FALSE)</f>
        <v>6.3</v>
      </c>
      <c r="AU90" s="113">
        <f>+AK90</f>
        <v>5</v>
      </c>
      <c r="AY90" s="115">
        <f>+HLOOKUP(AU90,AV60:BC89,30,FALSE)</f>
        <v>7.8</v>
      </c>
      <c r="BE90" s="114">
        <f>+AU90</f>
        <v>5</v>
      </c>
      <c r="BI90" s="115">
        <f>+HLOOKUP(BE90,BF60:BM89,30,FALSE)</f>
        <v>7.4</v>
      </c>
    </row>
    <row r="91" spans="2:65" hidden="1" x14ac:dyDescent="0.2">
      <c r="E91">
        <f>+DIM!Q31</f>
        <v>12</v>
      </c>
      <c r="F91" t="s">
        <v>65</v>
      </c>
      <c r="G91" t="str">
        <f>IF(E91&gt;20,"hauteur hourdis non disponible",IF(E91=12,"hauteur hourdis 15 mini pour jumelage",+"plancher"&amp;" "&amp;"EBS"&amp;" "&amp;E91&amp;" "&amp;"+" &amp;" "&amp;G90&amp;" jum"))</f>
        <v>hauteur hourdis 15 mini pour jumelage</v>
      </c>
      <c r="K91" s="116" t="str">
        <f>+K56&amp;"+"&amp;G90&amp;" "&amp;L56</f>
        <v>12+5 JUM</v>
      </c>
      <c r="U91" s="116" t="str">
        <f>+U56&amp;"+"&amp;Q90&amp;" "&amp;V56</f>
        <v>12+5 JUM</v>
      </c>
      <c r="AE91" s="116" t="str">
        <f>+AE56&amp;"+"&amp;AA90&amp;" "&amp;AF56</f>
        <v>15+5 JUM</v>
      </c>
      <c r="AO91" s="116" t="str">
        <f>+AO56&amp;"+"&amp;AK90&amp;" "&amp;AP56</f>
        <v>15+5 JUM</v>
      </c>
      <c r="AY91" s="116" t="str">
        <f>+AY56&amp;"+"&amp;AU90&amp;" "&amp;AZ56</f>
        <v>20+5 JUM</v>
      </c>
      <c r="BI91" s="116" t="str">
        <f>+BI56&amp;"+"&amp;BE90&amp;" "&amp;BJ56</f>
        <v>20+5 JUM</v>
      </c>
    </row>
    <row r="92" spans="2:65" hidden="1" x14ac:dyDescent="0.2">
      <c r="F92" t="s">
        <v>61</v>
      </c>
      <c r="G92">
        <f>+DIM!L22</f>
        <v>30</v>
      </c>
      <c r="K92" s="111">
        <f>+HLOOKUP(G90,H60:O86,24,FALSE)</f>
        <v>0</v>
      </c>
      <c r="U92" s="111">
        <f>+HLOOKUP(Q90,R60:Y86,24,FALSE)</f>
        <v>0</v>
      </c>
      <c r="AE92" s="111">
        <f>+HLOOKUP(AA90,AB60:AI86,27,FALSE)</f>
        <v>253</v>
      </c>
      <c r="AO92" s="111">
        <f>+HLOOKUP(AK90,AL60:AS86,27,FALSE)</f>
        <v>253</v>
      </c>
      <c r="AY92" s="111">
        <f>+HLOOKUP(AU90,AV60:BC86,27,FALSE)</f>
        <v>322</v>
      </c>
      <c r="BI92" s="111">
        <f>+HLOOKUP(BE90,BF60:BM86,27,FALSE)</f>
        <v>322</v>
      </c>
    </row>
    <row r="93" spans="2:65" hidden="1" x14ac:dyDescent="0.2">
      <c r="F93">
        <v>12</v>
      </c>
      <c r="G93" t="s">
        <v>111</v>
      </c>
      <c r="H93">
        <v>0</v>
      </c>
      <c r="I93">
        <v>0</v>
      </c>
      <c r="K93" s="111">
        <f>+HLOOKUP(G90,H60:O87,25,FALSE)</f>
        <v>0</v>
      </c>
      <c r="U93" s="111">
        <f>+HLOOKUP(Q90,R60:Y87,25,FALSE)</f>
        <v>0</v>
      </c>
      <c r="AE93" s="111">
        <f>+HLOOKUP(AA90,AB60:AI87,28,FALSE)</f>
        <v>76</v>
      </c>
      <c r="AO93" s="111">
        <f>+HLOOKUP(AK90,AL60:AS87,28,FALSE)</f>
        <v>76</v>
      </c>
      <c r="AY93" s="111">
        <f>+HLOOKUP(AU90,AV60:BC87,28,FALSE)</f>
        <v>93</v>
      </c>
      <c r="BI93" s="111">
        <f>+HLOOKUP(BE90,BF60:BM87,28,FALSE)</f>
        <v>93</v>
      </c>
    </row>
    <row r="94" spans="2:65" hidden="1" x14ac:dyDescent="0.2">
      <c r="F94">
        <v>15</v>
      </c>
      <c r="G94">
        <f>+IF($G$46=30,AE90,AO90)</f>
        <v>6.55</v>
      </c>
      <c r="H94">
        <f>+IF($G$46=30,AE92,AO92)</f>
        <v>253</v>
      </c>
      <c r="I94">
        <f>+IF($G$46=30,AE93,AO93)</f>
        <v>76</v>
      </c>
    </row>
    <row r="95" spans="2:65" ht="19.5" hidden="1" x14ac:dyDescent="0.35">
      <c r="F95">
        <v>20</v>
      </c>
      <c r="G95">
        <f>+IF($G$46=30,AY90,BI90)</f>
        <v>7.8</v>
      </c>
      <c r="H95">
        <f>+IF($G$46=30,AY92,BI92)</f>
        <v>322</v>
      </c>
      <c r="I95">
        <f>+IF($G$46=30,AY93,BI93)</f>
        <v>93</v>
      </c>
      <c r="K95" s="110">
        <v>12</v>
      </c>
      <c r="L95" s="110" t="s">
        <v>87</v>
      </c>
      <c r="U95" s="110">
        <v>12</v>
      </c>
      <c r="V95" s="110" t="s">
        <v>87</v>
      </c>
      <c r="AE95" s="110">
        <v>15</v>
      </c>
      <c r="AF95" s="110" t="s">
        <v>87</v>
      </c>
      <c r="AG95" s="110" t="s">
        <v>96</v>
      </c>
      <c r="AO95" s="110">
        <v>15</v>
      </c>
      <c r="AP95" s="110" t="s">
        <v>87</v>
      </c>
      <c r="AQ95" s="110" t="s">
        <v>97</v>
      </c>
      <c r="AY95" s="110">
        <v>20</v>
      </c>
      <c r="AZ95" s="110" t="s">
        <v>87</v>
      </c>
      <c r="BA95" s="110" t="s">
        <v>96</v>
      </c>
      <c r="BI95" s="110">
        <v>20</v>
      </c>
      <c r="BJ95" s="110" t="s">
        <v>87</v>
      </c>
      <c r="BK95" s="110" t="s">
        <v>97</v>
      </c>
    </row>
    <row r="96" spans="2:65" hidden="1" x14ac:dyDescent="0.2">
      <c r="E96" t="s">
        <v>70</v>
      </c>
      <c r="F96" t="s">
        <v>74</v>
      </c>
      <c r="G96" t="str">
        <f>IF($E$91&gt;20,"--",+VLOOKUP(DIM!Q31,F93:I95,2,FALSE))</f>
        <v>"non disponible en 12"</v>
      </c>
      <c r="K96" s="111" t="s">
        <v>78</v>
      </c>
      <c r="U96" s="111"/>
      <c r="AE96" s="111" t="s">
        <v>84</v>
      </c>
      <c r="AO96" s="111" t="s">
        <v>78</v>
      </c>
      <c r="AY96" s="111" t="s">
        <v>84</v>
      </c>
      <c r="BI96" s="111" t="s">
        <v>78</v>
      </c>
    </row>
    <row r="97" spans="6:65" hidden="1" x14ac:dyDescent="0.2">
      <c r="F97" t="s">
        <v>75</v>
      </c>
      <c r="G97">
        <f>IF($E$91&gt;20,0,+VLOOKUP(DIM!Q31,F93:I95,3,FALSE))</f>
        <v>0</v>
      </c>
    </row>
    <row r="98" spans="6:65" hidden="1" x14ac:dyDescent="0.2">
      <c r="F98" t="s">
        <v>72</v>
      </c>
      <c r="G98">
        <f>IF($E$91&gt;20,0,+VLOOKUP(DIM!Q31,F93:I95,4,FALSE))</f>
        <v>0</v>
      </c>
    </row>
    <row r="99" spans="6:65" hidden="1" x14ac:dyDescent="0.2"/>
    <row r="100" spans="6:65" hidden="1" x14ac:dyDescent="0.2"/>
    <row r="101" spans="6:65" hidden="1" x14ac:dyDescent="0.2">
      <c r="G101" t="s">
        <v>130</v>
      </c>
      <c r="H101" s="142" t="s">
        <v>112</v>
      </c>
      <c r="I101" s="142"/>
      <c r="J101" s="142" t="s">
        <v>113</v>
      </c>
      <c r="K101" s="142"/>
      <c r="L101" s="142" t="s">
        <v>114</v>
      </c>
      <c r="M101" s="142"/>
      <c r="N101" s="142" t="s">
        <v>115</v>
      </c>
      <c r="O101" s="142"/>
      <c r="Q101" t="s">
        <v>130</v>
      </c>
      <c r="R101" s="142" t="s">
        <v>112</v>
      </c>
      <c r="S101" s="142"/>
      <c r="T101" s="142" t="s">
        <v>113</v>
      </c>
      <c r="U101" s="142"/>
      <c r="V101" s="142" t="s">
        <v>114</v>
      </c>
      <c r="W101" s="142"/>
      <c r="X101" s="142" t="s">
        <v>115</v>
      </c>
      <c r="Y101" s="142"/>
      <c r="AA101" t="s">
        <v>130</v>
      </c>
      <c r="AB101" s="142" t="s">
        <v>116</v>
      </c>
      <c r="AC101" s="142"/>
      <c r="AD101" s="142" t="s">
        <v>117</v>
      </c>
      <c r="AE101" s="142"/>
      <c r="AF101" s="142" t="s">
        <v>118</v>
      </c>
      <c r="AG101" s="142"/>
      <c r="AH101" s="142" t="s">
        <v>119</v>
      </c>
      <c r="AI101" s="142"/>
      <c r="AK101" t="s">
        <v>130</v>
      </c>
      <c r="AL101" s="142" t="s">
        <v>116</v>
      </c>
      <c r="AM101" s="142"/>
      <c r="AN101" s="142" t="s">
        <v>117</v>
      </c>
      <c r="AO101" s="142"/>
      <c r="AP101" s="142" t="s">
        <v>118</v>
      </c>
      <c r="AQ101" s="142"/>
      <c r="AR101" s="142" t="s">
        <v>119</v>
      </c>
      <c r="AS101" s="142"/>
      <c r="AU101" t="s">
        <v>130</v>
      </c>
      <c r="AV101" s="142" t="s">
        <v>120</v>
      </c>
      <c r="AW101" s="142"/>
      <c r="AX101" s="142" t="s">
        <v>121</v>
      </c>
      <c r="AY101" s="142"/>
      <c r="AZ101" s="142" t="s">
        <v>122</v>
      </c>
      <c r="BA101" s="142"/>
      <c r="BB101" s="142" t="s">
        <v>123</v>
      </c>
      <c r="BC101" s="142"/>
      <c r="BE101" t="s">
        <v>130</v>
      </c>
      <c r="BF101" s="142" t="s">
        <v>120</v>
      </c>
      <c r="BG101" s="142"/>
      <c r="BH101" s="142" t="s">
        <v>121</v>
      </c>
      <c r="BI101" s="142"/>
      <c r="BJ101" s="142" t="s">
        <v>122</v>
      </c>
      <c r="BK101" s="142"/>
      <c r="BL101" s="142" t="s">
        <v>123</v>
      </c>
      <c r="BM101" s="142"/>
    </row>
    <row r="102" spans="6:65" hidden="1" x14ac:dyDescent="0.2">
      <c r="F102" s="113">
        <f>+DIM!S10-0.01</f>
        <v>4.99</v>
      </c>
      <c r="H102" s="142">
        <f>+IF(H89&gt;$F$102,1,0)</f>
        <v>0</v>
      </c>
      <c r="I102" s="142"/>
      <c r="J102" s="142">
        <f t="shared" ref="J102" si="6">+IF(J89&gt;$F$102,1,0)</f>
        <v>0</v>
      </c>
      <c r="K102" s="142"/>
      <c r="L102" s="142">
        <f t="shared" ref="L102" si="7">+IF(L89&gt;$F$102,1,0)</f>
        <v>0</v>
      </c>
      <c r="M102" s="142"/>
      <c r="N102" s="142">
        <f t="shared" ref="N102" si="8">+IF(N89&gt;$F$102,1,0)</f>
        <v>0</v>
      </c>
      <c r="O102" s="142"/>
      <c r="R102" s="142">
        <f t="shared" ref="R102:X102" si="9">+IF(R89&gt;$F$102,1,0)</f>
        <v>0</v>
      </c>
      <c r="S102" s="142"/>
      <c r="T102" s="142">
        <f t="shared" si="9"/>
        <v>0</v>
      </c>
      <c r="U102" s="142"/>
      <c r="V102" s="142">
        <f t="shared" si="9"/>
        <v>0</v>
      </c>
      <c r="W102" s="142"/>
      <c r="X102" s="142">
        <f t="shared" si="9"/>
        <v>0</v>
      </c>
      <c r="Y102" s="142"/>
      <c r="AB102" s="142">
        <f t="shared" ref="AB102:AH102" si="10">+IF(AB89&gt;$F$102,1,0)</f>
        <v>1</v>
      </c>
      <c r="AC102" s="142"/>
      <c r="AD102" s="142">
        <f t="shared" si="10"/>
        <v>1</v>
      </c>
      <c r="AE102" s="142"/>
      <c r="AF102" s="142">
        <f t="shared" si="10"/>
        <v>1</v>
      </c>
      <c r="AG102" s="142"/>
      <c r="AH102" s="142">
        <f t="shared" si="10"/>
        <v>1</v>
      </c>
      <c r="AI102" s="142"/>
      <c r="AL102" s="142">
        <f t="shared" ref="AL102:AR102" si="11">+IF(AL89&gt;$F$102,1,0)</f>
        <v>1</v>
      </c>
      <c r="AM102" s="142"/>
      <c r="AN102" s="142">
        <f t="shared" si="11"/>
        <v>1</v>
      </c>
      <c r="AO102" s="142"/>
      <c r="AP102" s="142">
        <f t="shared" si="11"/>
        <v>1</v>
      </c>
      <c r="AQ102" s="142"/>
      <c r="AR102" s="142">
        <f t="shared" si="11"/>
        <v>1</v>
      </c>
      <c r="AS102" s="142"/>
      <c r="AV102" s="142">
        <f t="shared" ref="AV102:BB102" si="12">+IF(AV89&gt;$F$102,1,0)</f>
        <v>1</v>
      </c>
      <c r="AW102" s="142"/>
      <c r="AX102" s="142">
        <f t="shared" si="12"/>
        <v>1</v>
      </c>
      <c r="AY102" s="142"/>
      <c r="AZ102" s="142">
        <f t="shared" si="12"/>
        <v>1</v>
      </c>
      <c r="BA102" s="142"/>
      <c r="BB102" s="142">
        <f t="shared" si="12"/>
        <v>1</v>
      </c>
      <c r="BC102" s="142"/>
      <c r="BF102" s="142">
        <f t="shared" ref="BF102:BL102" si="13">+IF(BF89&gt;$F$102,1,0)</f>
        <v>1</v>
      </c>
      <c r="BG102" s="142"/>
      <c r="BH102" s="142">
        <f t="shared" si="13"/>
        <v>1</v>
      </c>
      <c r="BI102" s="142"/>
      <c r="BJ102" s="142">
        <f t="shared" si="13"/>
        <v>1</v>
      </c>
      <c r="BK102" s="142"/>
      <c r="BL102" s="142">
        <f t="shared" si="13"/>
        <v>1</v>
      </c>
      <c r="BM102" s="142"/>
    </row>
    <row r="103" spans="6:65" hidden="1" x14ac:dyDescent="0.2">
      <c r="F103" s="113"/>
      <c r="H103" s="49"/>
      <c r="I103" s="49"/>
      <c r="J103" s="49"/>
      <c r="K103" s="49"/>
      <c r="L103" s="49"/>
      <c r="M103" s="49"/>
      <c r="N103" s="49"/>
      <c r="O103" s="49"/>
      <c r="R103" s="49"/>
      <c r="S103" s="49"/>
      <c r="T103" s="49"/>
      <c r="U103" s="49"/>
      <c r="V103" s="49"/>
      <c r="W103" s="49"/>
      <c r="X103" s="49"/>
      <c r="Y103" s="49"/>
      <c r="AB103" s="49"/>
      <c r="AC103" s="49"/>
      <c r="AD103" s="49"/>
      <c r="AE103" s="49"/>
      <c r="AF103" s="49"/>
      <c r="AG103" s="49"/>
      <c r="AH103" s="49"/>
      <c r="AI103" s="49"/>
      <c r="AL103" s="49"/>
      <c r="AM103" s="49"/>
      <c r="AN103" s="49"/>
      <c r="AO103" s="49"/>
      <c r="AP103" s="49"/>
      <c r="AQ103" s="49"/>
      <c r="AR103" s="49"/>
      <c r="AS103" s="49"/>
      <c r="AV103" s="49"/>
      <c r="AW103" s="49"/>
      <c r="AX103" s="49"/>
      <c r="AY103" s="49"/>
      <c r="AZ103" s="49"/>
      <c r="BA103" s="49"/>
      <c r="BB103" s="49"/>
      <c r="BC103" s="49"/>
      <c r="BF103" s="49"/>
      <c r="BG103" s="49"/>
      <c r="BH103" s="49"/>
      <c r="BI103" s="49"/>
      <c r="BJ103" s="49"/>
      <c r="BK103" s="49"/>
      <c r="BL103" s="49"/>
      <c r="BM103" s="49"/>
    </row>
    <row r="104" spans="6:65" hidden="1" x14ac:dyDescent="0.2">
      <c r="F104" s="113"/>
      <c r="H104" s="49"/>
      <c r="J104" t="s">
        <v>144</v>
      </c>
      <c r="L104" t="s">
        <v>130</v>
      </c>
      <c r="T104" t="s">
        <v>145</v>
      </c>
      <c r="V104" t="s">
        <v>130</v>
      </c>
      <c r="X104" s="49"/>
      <c r="Y104" s="49"/>
      <c r="AB104" s="49"/>
      <c r="AC104" s="49"/>
      <c r="AD104" s="49"/>
      <c r="AE104" s="49"/>
      <c r="AF104" s="49"/>
      <c r="AG104" s="49"/>
      <c r="AH104" s="49"/>
      <c r="AI104" s="49"/>
      <c r="AL104" s="49"/>
      <c r="AM104" s="49"/>
      <c r="AN104" s="49"/>
      <c r="AO104" s="49"/>
      <c r="AP104" s="49"/>
      <c r="AQ104" s="49"/>
      <c r="AR104" s="49"/>
      <c r="AS104" s="49"/>
      <c r="AV104" s="49"/>
      <c r="AW104" s="49"/>
      <c r="AX104" s="49"/>
      <c r="AY104" s="49"/>
      <c r="AZ104" s="49"/>
      <c r="BA104" s="49"/>
      <c r="BB104" s="49"/>
      <c r="BC104" s="49"/>
      <c r="BF104" s="49"/>
      <c r="BG104" s="49"/>
      <c r="BH104" s="49"/>
      <c r="BI104" s="49"/>
      <c r="BJ104" s="49"/>
      <c r="BK104" s="49"/>
      <c r="BL104" s="49"/>
      <c r="BM104" s="49"/>
    </row>
    <row r="105" spans="6:65" hidden="1" x14ac:dyDescent="0.2">
      <c r="F105" s="113"/>
      <c r="H105" s="49"/>
      <c r="K105">
        <f>+IF(H102=1,H101,IF(J102=1,J101,IF(L102=1,L101,IF(N102=1,N101,0))))</f>
        <v>0</v>
      </c>
      <c r="L105" t="str">
        <f>+AE105</f>
        <v>15+5</v>
      </c>
      <c r="M105" t="str">
        <f>+AY105</f>
        <v>20+5</v>
      </c>
      <c r="U105">
        <f>+IF(R102=1,R101,IF(T102=1,T101,IF(V102=1,V101,IF(X102=1,X101,0))))</f>
        <v>0</v>
      </c>
      <c r="V105" t="str">
        <f>+AO105</f>
        <v>15+5</v>
      </c>
      <c r="W105" t="str">
        <f>+BI105</f>
        <v>20+5</v>
      </c>
      <c r="X105" s="49"/>
      <c r="Y105" s="49"/>
      <c r="AB105" s="49"/>
      <c r="AC105" s="49"/>
      <c r="AD105" s="49"/>
      <c r="AE105" t="str">
        <f>+IF(AB102=1,AB101,IF(AD102=1,AD101,IF(AF102=1,AF101,IF(AH102=1,AH101,0))))</f>
        <v>15+5</v>
      </c>
      <c r="AF105" s="49"/>
      <c r="AG105" s="49"/>
      <c r="AH105" s="49"/>
      <c r="AI105" s="49"/>
      <c r="AL105" s="49"/>
      <c r="AM105" s="49"/>
      <c r="AN105" s="49"/>
      <c r="AO105" t="str">
        <f>+IF(AL102=1,AL101,IF(AN102=1,AN101,IF(AP102=1,AP101,IF(AR102=1,AR101,0))))</f>
        <v>15+5</v>
      </c>
      <c r="AP105" s="49"/>
      <c r="AQ105" s="49"/>
      <c r="AR105" s="49"/>
      <c r="AS105" s="49"/>
      <c r="AV105" s="49"/>
      <c r="AW105" s="49"/>
      <c r="AX105" s="49"/>
      <c r="AY105" t="str">
        <f>+IF(AV102=1,AV101,IF(AX102=1,AX101,IF(AZ102=1,AZ101,IF(BB102=1,BB101,0))))</f>
        <v>20+5</v>
      </c>
      <c r="AZ105" s="49"/>
      <c r="BA105" s="49"/>
      <c r="BB105" s="49"/>
      <c r="BC105" s="49"/>
      <c r="BF105" s="49"/>
      <c r="BG105" s="49"/>
      <c r="BH105" s="49"/>
      <c r="BI105" t="str">
        <f>+IF(BF102=1,BF101,IF(BH102=1,BH101,IF(BJ102=1,BJ101,IF(BL102=1,BL101,0))))</f>
        <v>20+5</v>
      </c>
      <c r="BJ105" s="49"/>
      <c r="BK105" s="49"/>
      <c r="BL105" s="49"/>
      <c r="BM105" s="49"/>
    </row>
    <row r="106" spans="6:65" hidden="1" x14ac:dyDescent="0.2">
      <c r="F106" s="113"/>
      <c r="H106" s="49"/>
      <c r="J106" s="111" t="str">
        <f>+IF(K105&gt;0,K105,IF(L105&gt;0,L105,IF(M105&gt;0,M105,"hors limite")))</f>
        <v>15+5</v>
      </c>
      <c r="T106" s="111" t="str">
        <f>+IF(U105&gt;0,U105,IF(V105&gt;0,V105,IF(W105&gt;0,W105,"hors limite")))</f>
        <v>15+5</v>
      </c>
      <c r="X106" s="49"/>
      <c r="Y106" s="49"/>
      <c r="AB106" s="49"/>
      <c r="AC106" s="49"/>
      <c r="AD106" s="49"/>
      <c r="AE106" s="49"/>
      <c r="AF106" s="49"/>
      <c r="AG106" s="49"/>
      <c r="AH106" s="49"/>
      <c r="AI106" s="49"/>
      <c r="AL106" s="49"/>
      <c r="AM106" s="49"/>
      <c r="AN106" s="49"/>
      <c r="AO106" s="49"/>
      <c r="AP106" s="49"/>
      <c r="AQ106" s="49"/>
      <c r="AR106" s="49"/>
      <c r="AS106" s="49"/>
      <c r="AV106" s="49"/>
      <c r="AW106" s="49"/>
      <c r="AX106" s="49"/>
      <c r="AY106" s="49"/>
      <c r="AZ106" s="49"/>
      <c r="BA106" s="49"/>
      <c r="BB106" s="49"/>
      <c r="BC106" s="49"/>
      <c r="BF106" s="49"/>
      <c r="BG106" s="49"/>
      <c r="BH106" s="49"/>
      <c r="BI106" s="49"/>
      <c r="BJ106" s="49"/>
      <c r="BK106" s="49"/>
      <c r="BL106" s="49"/>
      <c r="BM106" s="49"/>
    </row>
    <row r="107" spans="6:65" hidden="1" x14ac:dyDescent="0.2">
      <c r="F107" s="113"/>
      <c r="H107" s="49"/>
      <c r="I107" t="s">
        <v>75</v>
      </c>
      <c r="J107" s="111">
        <f>+IF(K105&gt;0,K107,IF(L105&gt;0,L107,IF(M105&gt;0,M107,0)))</f>
        <v>253</v>
      </c>
      <c r="K107" t="e">
        <f>+HLOOKUP(J106,H59:O88,25,FALSE)</f>
        <v>#N/A</v>
      </c>
      <c r="L107">
        <f>+HLOOKUP(L105,AB59:AI88,28,FALSE)</f>
        <v>253</v>
      </c>
      <c r="M107">
        <f>+HLOOKUP(M105,AV59:BC88,28,FALSE)</f>
        <v>322</v>
      </c>
      <c r="T107" s="111">
        <f>+IF(U105&gt;0,U107,IF(V105&gt;0,V107,IF(W105&gt;0,W107,0)))</f>
        <v>253</v>
      </c>
      <c r="U107" t="e">
        <f>+HLOOKUP(U105,R59:Y88,25,FALSE)</f>
        <v>#N/A</v>
      </c>
      <c r="V107">
        <f>+HLOOKUP(V105,AL59:AS88,28,FALSE)</f>
        <v>253</v>
      </c>
      <c r="W107">
        <f>+HLOOKUP(W105,BF59:BM88,28,FALSE)</f>
        <v>322</v>
      </c>
      <c r="X107" s="49"/>
      <c r="Y107" s="49"/>
      <c r="AB107" s="49"/>
      <c r="AC107" s="49"/>
      <c r="AD107" s="49"/>
      <c r="AE107" s="49"/>
      <c r="AF107" s="49"/>
      <c r="AG107" s="49"/>
      <c r="AH107" s="49"/>
      <c r="AI107" s="49"/>
      <c r="AL107" s="49"/>
      <c r="AM107" s="49"/>
      <c r="AN107" s="49"/>
      <c r="AO107" s="49"/>
      <c r="AP107" s="49"/>
      <c r="AQ107" s="49"/>
      <c r="AR107" s="49"/>
      <c r="AS107" s="49"/>
      <c r="AV107" s="49"/>
      <c r="AW107" s="49"/>
      <c r="AX107" s="49"/>
      <c r="AY107" s="49"/>
      <c r="AZ107" s="49"/>
      <c r="BA107" s="49"/>
      <c r="BB107" s="49"/>
      <c r="BC107" s="49"/>
      <c r="BF107" s="49"/>
      <c r="BG107" s="49"/>
      <c r="BH107" s="49"/>
      <c r="BI107" s="49"/>
      <c r="BJ107" s="49"/>
      <c r="BK107" s="49"/>
      <c r="BL107" s="49"/>
      <c r="BM107" s="49"/>
    </row>
    <row r="108" spans="6:65" hidden="1" x14ac:dyDescent="0.2">
      <c r="F108" s="113"/>
      <c r="H108" s="49"/>
      <c r="I108" t="s">
        <v>72</v>
      </c>
      <c r="J108" s="111">
        <f>+IF(K105&gt;0,K108,IF(L105&gt;0,L108,IF(M105&gt;0,M108,0)))</f>
        <v>76</v>
      </c>
      <c r="K108" t="e">
        <f>+HLOOKUP(J106,H59:O88,26,FALSE)</f>
        <v>#N/A</v>
      </c>
      <c r="L108">
        <f>+HLOOKUP(L105,AB59:AI88,29,FALSE)</f>
        <v>76</v>
      </c>
      <c r="M108">
        <f>+HLOOKUP(M105,AV59:BC88,29,FALSE)</f>
        <v>93</v>
      </c>
      <c r="T108" s="111">
        <f>+IF(U105&gt;0,U108,IF(V105&gt;0,V108,IF(W105&gt;0,W108,0)))</f>
        <v>76</v>
      </c>
      <c r="U108" t="e">
        <f>+HLOOKUP(U105,R59:Y88,26,FALSE)</f>
        <v>#N/A</v>
      </c>
      <c r="V108">
        <f>+HLOOKUP(V105,AL59:AS88,29,FALSE)</f>
        <v>76</v>
      </c>
      <c r="W108">
        <f>+HLOOKUP(W105,BF59:BM88,29,FALSE)</f>
        <v>93</v>
      </c>
      <c r="X108" s="49"/>
      <c r="Y108" s="49"/>
      <c r="AB108" s="49"/>
      <c r="AC108" s="49"/>
      <c r="AD108" s="49"/>
      <c r="AE108" s="49"/>
      <c r="AF108" s="49"/>
      <c r="AG108" s="49"/>
      <c r="AH108" s="49"/>
      <c r="AI108" s="49"/>
      <c r="AL108" s="49"/>
      <c r="AM108" s="49"/>
      <c r="AN108" s="49"/>
      <c r="AO108" s="49"/>
      <c r="AP108" s="49"/>
      <c r="AQ108" s="49"/>
      <c r="AR108" s="49"/>
      <c r="AS108" s="49"/>
      <c r="AV108" s="49"/>
      <c r="AW108" s="49"/>
      <c r="AX108" s="49"/>
      <c r="AY108" s="49"/>
      <c r="AZ108" s="49"/>
      <c r="BA108" s="49"/>
      <c r="BB108" s="49"/>
      <c r="BC108" s="49"/>
      <c r="BF108" s="49"/>
      <c r="BG108" s="49"/>
      <c r="BH108" s="49"/>
      <c r="BI108" s="49"/>
      <c r="BJ108" s="49"/>
      <c r="BK108" s="49"/>
      <c r="BL108" s="49"/>
      <c r="BM108" s="49"/>
    </row>
    <row r="109" spans="6:65" hidden="1" x14ac:dyDescent="0.2">
      <c r="F109" s="113"/>
      <c r="H109" s="49"/>
      <c r="I109" s="49"/>
      <c r="J109" s="49"/>
      <c r="K109" s="49"/>
      <c r="L109" s="49"/>
      <c r="M109" s="49"/>
      <c r="N109" s="49"/>
      <c r="O109" s="49"/>
      <c r="R109" s="49"/>
      <c r="S109" s="49"/>
      <c r="T109" s="49"/>
      <c r="U109" s="49"/>
      <c r="V109" s="49"/>
      <c r="W109" s="49"/>
      <c r="X109" s="49"/>
      <c r="Y109" s="49"/>
      <c r="AB109" s="49"/>
      <c r="AC109" s="49"/>
      <c r="AD109" s="49"/>
      <c r="AE109" s="49"/>
      <c r="AF109" s="49"/>
      <c r="AG109" s="49"/>
      <c r="AH109" s="49"/>
      <c r="AI109" s="49"/>
      <c r="AL109" s="49"/>
      <c r="AM109" s="49"/>
      <c r="AN109" s="49"/>
      <c r="AO109" s="49"/>
      <c r="AP109" s="49"/>
      <c r="AQ109" s="49"/>
      <c r="AR109" s="49"/>
      <c r="AS109" s="49"/>
      <c r="AV109" s="49"/>
      <c r="AW109" s="49"/>
      <c r="AX109" s="49"/>
      <c r="AY109" s="49"/>
      <c r="AZ109" s="49"/>
      <c r="BA109" s="49"/>
      <c r="BB109" s="49"/>
      <c r="BC109" s="49"/>
      <c r="BF109" s="49"/>
      <c r="BG109" s="49"/>
      <c r="BH109" s="49"/>
      <c r="BI109" s="49"/>
      <c r="BJ109" s="49"/>
      <c r="BK109" s="49"/>
      <c r="BL109" s="49"/>
      <c r="BM109" s="49"/>
    </row>
    <row r="110" spans="6:65" hidden="1" x14ac:dyDescent="0.2">
      <c r="F110" s="113"/>
      <c r="H110" s="49"/>
      <c r="I110" s="49"/>
      <c r="J110" s="49"/>
      <c r="K110" s="49"/>
      <c r="L110" s="49"/>
      <c r="M110" s="49"/>
      <c r="N110" s="49"/>
      <c r="O110" s="49"/>
      <c r="R110" s="49"/>
      <c r="S110" s="49"/>
      <c r="T110" s="49"/>
      <c r="U110" s="49"/>
      <c r="V110" s="49"/>
      <c r="W110" s="49"/>
      <c r="X110" s="49"/>
      <c r="Y110" s="49"/>
      <c r="AB110" s="49"/>
      <c r="AC110" s="49"/>
      <c r="AD110" s="49"/>
      <c r="AE110" s="49"/>
      <c r="AF110" s="49"/>
      <c r="AG110" s="49"/>
      <c r="AH110" s="49"/>
      <c r="AI110" s="49"/>
      <c r="AL110" s="49"/>
      <c r="AM110" s="49"/>
      <c r="AN110" s="49"/>
      <c r="AO110" s="49"/>
      <c r="AP110" s="49"/>
      <c r="AQ110" s="49"/>
      <c r="AR110" s="49"/>
      <c r="AS110" s="49"/>
      <c r="AV110" s="49"/>
      <c r="AW110" s="49"/>
      <c r="AX110" s="49"/>
      <c r="AY110" s="49"/>
      <c r="AZ110" s="49"/>
      <c r="BA110" s="49"/>
      <c r="BB110" s="49"/>
      <c r="BC110" s="49"/>
      <c r="BF110" s="49"/>
      <c r="BG110" s="49"/>
      <c r="BH110" s="49"/>
      <c r="BI110" s="49"/>
      <c r="BJ110" s="49"/>
      <c r="BK110" s="49"/>
      <c r="BL110" s="49"/>
      <c r="BM110" s="49"/>
    </row>
    <row r="111" spans="6:65" hidden="1" x14ac:dyDescent="0.2">
      <c r="J111" s="111"/>
      <c r="T111" s="111"/>
    </row>
    <row r="112" spans="6:65" hidden="1" x14ac:dyDescent="0.2">
      <c r="J112" s="111"/>
      <c r="T112" s="111"/>
    </row>
    <row r="113" spans="6:65" hidden="1" x14ac:dyDescent="0.2">
      <c r="G113" t="s">
        <v>88</v>
      </c>
      <c r="H113" s="142" t="s">
        <v>112</v>
      </c>
      <c r="I113" s="142"/>
      <c r="J113" s="142" t="s">
        <v>113</v>
      </c>
      <c r="K113" s="142"/>
      <c r="L113" s="142" t="s">
        <v>114</v>
      </c>
      <c r="M113" s="142"/>
      <c r="N113" s="142" t="s">
        <v>115</v>
      </c>
      <c r="O113" s="142"/>
      <c r="Q113" t="s">
        <v>88</v>
      </c>
      <c r="R113" s="142" t="s">
        <v>112</v>
      </c>
      <c r="S113" s="142"/>
      <c r="T113" s="142" t="s">
        <v>113</v>
      </c>
      <c r="U113" s="142"/>
      <c r="V113" s="142" t="s">
        <v>114</v>
      </c>
      <c r="W113" s="142"/>
      <c r="X113" s="142" t="s">
        <v>115</v>
      </c>
      <c r="Y113" s="142"/>
      <c r="AA113" t="s">
        <v>88</v>
      </c>
      <c r="AB113" s="142" t="s">
        <v>116</v>
      </c>
      <c r="AC113" s="142"/>
      <c r="AD113" s="142" t="s">
        <v>117</v>
      </c>
      <c r="AE113" s="142"/>
      <c r="AF113" s="142" t="s">
        <v>118</v>
      </c>
      <c r="AG113" s="142"/>
      <c r="AH113" s="142" t="s">
        <v>119</v>
      </c>
      <c r="AI113" s="142"/>
      <c r="AK113" t="s">
        <v>88</v>
      </c>
      <c r="AL113" s="142" t="s">
        <v>116</v>
      </c>
      <c r="AM113" s="142"/>
      <c r="AN113" s="142" t="s">
        <v>117</v>
      </c>
      <c r="AO113" s="142"/>
      <c r="AP113" s="142" t="s">
        <v>118</v>
      </c>
      <c r="AQ113" s="142"/>
      <c r="AR113" s="142" t="s">
        <v>119</v>
      </c>
      <c r="AS113" s="142"/>
      <c r="AU113" t="s">
        <v>88</v>
      </c>
      <c r="AV113" s="142" t="s">
        <v>120</v>
      </c>
      <c r="AW113" s="142"/>
      <c r="AX113" s="142" t="s">
        <v>121</v>
      </c>
      <c r="AY113" s="142"/>
      <c r="AZ113" s="142" t="s">
        <v>122</v>
      </c>
      <c r="BA113" s="142"/>
      <c r="BB113" s="142" t="s">
        <v>123</v>
      </c>
      <c r="BC113" s="142"/>
      <c r="BE113" t="s">
        <v>88</v>
      </c>
      <c r="BF113" s="142" t="s">
        <v>120</v>
      </c>
      <c r="BG113" s="142"/>
      <c r="BH113" s="142" t="s">
        <v>121</v>
      </c>
      <c r="BI113" s="142"/>
      <c r="BJ113" s="142" t="s">
        <v>122</v>
      </c>
      <c r="BK113" s="142"/>
      <c r="BL113" s="142" t="s">
        <v>123</v>
      </c>
      <c r="BM113" s="142"/>
    </row>
    <row r="114" spans="6:65" hidden="1" x14ac:dyDescent="0.2">
      <c r="F114" s="113"/>
      <c r="H114" s="142">
        <f>+IF(H43&gt;$F$102,1,0)</f>
        <v>1</v>
      </c>
      <c r="I114" s="142"/>
      <c r="J114" s="142">
        <f t="shared" ref="J114" si="14">+IF(J43&gt;$F$102,1,0)</f>
        <v>1</v>
      </c>
      <c r="K114" s="142"/>
      <c r="L114" s="142">
        <f t="shared" ref="L114" si="15">+IF(L43&gt;$F$102,1,0)</f>
        <v>1</v>
      </c>
      <c r="M114" s="142"/>
      <c r="N114" s="142">
        <f t="shared" ref="N114" si="16">+IF(N43&gt;$F$102,1,0)</f>
        <v>1</v>
      </c>
      <c r="O114" s="142"/>
      <c r="R114" s="142">
        <f>+IF(R43&gt;$F$102,1,0)</f>
        <v>0</v>
      </c>
      <c r="S114" s="142"/>
      <c r="T114" s="142">
        <f t="shared" ref="T114" si="17">+IF(T43&gt;$F$102,1,0)</f>
        <v>0</v>
      </c>
      <c r="U114" s="142"/>
      <c r="V114" s="142">
        <f t="shared" ref="V114" si="18">+IF(V43&gt;$F$102,1,0)</f>
        <v>0</v>
      </c>
      <c r="W114" s="142"/>
      <c r="X114" s="142">
        <f t="shared" ref="X114" si="19">+IF(X43&gt;$F$102,1,0)</f>
        <v>0</v>
      </c>
      <c r="Y114" s="142"/>
      <c r="AB114" s="142">
        <f>+IF(AB43&gt;$F$102,1,0)</f>
        <v>1</v>
      </c>
      <c r="AC114" s="142"/>
      <c r="AD114" s="142">
        <f t="shared" ref="AD114" si="20">+IF(AD43&gt;$F$102,1,0)</f>
        <v>1</v>
      </c>
      <c r="AE114" s="142"/>
      <c r="AF114" s="142">
        <f t="shared" ref="AF114" si="21">+IF(AF43&gt;$F$102,1,0)</f>
        <v>1</v>
      </c>
      <c r="AG114" s="142"/>
      <c r="AH114" s="142">
        <f t="shared" ref="AH114" si="22">+IF(AH43&gt;$F$102,1,0)</f>
        <v>1</v>
      </c>
      <c r="AI114" s="142"/>
      <c r="AL114" s="142">
        <f>+IF(AL43&gt;$F$102,1,0)</f>
        <v>1</v>
      </c>
      <c r="AM114" s="142"/>
      <c r="AN114" s="142">
        <f t="shared" ref="AN114" si="23">+IF(AN43&gt;$F$102,1,0)</f>
        <v>1</v>
      </c>
      <c r="AO114" s="142"/>
      <c r="AP114" s="142">
        <f t="shared" ref="AP114" si="24">+IF(AP43&gt;$F$102,1,0)</f>
        <v>1</v>
      </c>
      <c r="AQ114" s="142"/>
      <c r="AR114" s="142">
        <f t="shared" ref="AR114" si="25">+IF(AR43&gt;$F$102,1,0)</f>
        <v>1</v>
      </c>
      <c r="AS114" s="142"/>
      <c r="AV114" s="142">
        <f>+IF(AV43&gt;$F$102,1,0)</f>
        <v>1</v>
      </c>
      <c r="AW114" s="142"/>
      <c r="AX114" s="142">
        <f t="shared" ref="AX114" si="26">+IF(AX43&gt;$F$102,1,0)</f>
        <v>1</v>
      </c>
      <c r="AY114" s="142"/>
      <c r="AZ114" s="142">
        <f t="shared" ref="AZ114" si="27">+IF(AZ43&gt;$F$102,1,0)</f>
        <v>1</v>
      </c>
      <c r="BA114" s="142"/>
      <c r="BB114" s="142">
        <f t="shared" ref="BB114" si="28">+IF(BB43&gt;$F$102,1,0)</f>
        <v>1</v>
      </c>
      <c r="BC114" s="142"/>
      <c r="BF114" s="142">
        <f>+IF(BF43&gt;$F$102,1,0)</f>
        <v>1</v>
      </c>
      <c r="BG114" s="142"/>
      <c r="BH114" s="142">
        <f t="shared" ref="BH114" si="29">+IF(BH43&gt;$F$102,1,0)</f>
        <v>1</v>
      </c>
      <c r="BI114" s="142"/>
      <c r="BJ114" s="142">
        <f t="shared" ref="BJ114" si="30">+IF(BJ43&gt;$F$102,1,0)</f>
        <v>1</v>
      </c>
      <c r="BK114" s="142"/>
      <c r="BL114" s="142">
        <f t="shared" ref="BL114" si="31">+IF(BL43&gt;$F$102,1,0)</f>
        <v>1</v>
      </c>
      <c r="BM114" s="142"/>
    </row>
    <row r="115" spans="6:65" hidden="1" x14ac:dyDescent="0.2"/>
    <row r="116" spans="6:65" hidden="1" x14ac:dyDescent="0.2">
      <c r="J116" t="s">
        <v>144</v>
      </c>
      <c r="L116" t="s">
        <v>88</v>
      </c>
      <c r="T116" t="s">
        <v>145</v>
      </c>
      <c r="V116" t="s">
        <v>88</v>
      </c>
    </row>
    <row r="117" spans="6:65" hidden="1" x14ac:dyDescent="0.2">
      <c r="K117" t="str">
        <f>+IF(H114=1,H113,IF(J114=1,J113,IF(L114=1,L113,IF(N114=1,N113,0))))</f>
        <v>12+5</v>
      </c>
      <c r="L117" t="str">
        <f>+AE117</f>
        <v>15+5</v>
      </c>
      <c r="M117" t="str">
        <f>+AY117</f>
        <v>20+5</v>
      </c>
      <c r="U117">
        <f>+IF(R114=1,R113,IF(T114=1,T113,IF(V114=1,V113,IF(X114=1,X113,0))))</f>
        <v>0</v>
      </c>
      <c r="V117" t="str">
        <f>+AO117</f>
        <v>15+5</v>
      </c>
      <c r="W117" t="str">
        <f>+BI117</f>
        <v>20+5</v>
      </c>
      <c r="AE117" t="str">
        <f>+IF(AB114=1,AB113,IF(AD114=1,AD113,IF(AF114=1,AF113,IF(AH114=1,AH113,0))))</f>
        <v>15+5</v>
      </c>
      <c r="AO117" t="str">
        <f>+IF(AL114=1,AL113,IF(AN114=1,AN113,IF(AP114=1,AP113,IF(AR114=1,AR113,0))))</f>
        <v>15+5</v>
      </c>
      <c r="AY117" t="str">
        <f>+IF(AV114=1,AV113,IF(AX114=1,AX113,IF(AZ114=1,AZ113,IF(BB114=1,BB113,0))))</f>
        <v>20+5</v>
      </c>
      <c r="BI117" t="str">
        <f>+IF(BF114=1,BF113,IF(BH114=1,BH113,IF(BJ114=1,BJ113,IF(BL114=1,BL113,0))))</f>
        <v>20+5</v>
      </c>
    </row>
    <row r="118" spans="6:65" hidden="1" x14ac:dyDescent="0.2">
      <c r="J118" s="111" t="str">
        <f>+IF(K117&gt;0,K117,IF(L117&gt;0,L117,IF(M117&gt;0,M117,"à jumeler")))</f>
        <v>12+5</v>
      </c>
      <c r="T118" s="111" t="str">
        <f>+IF(U117&gt;0,U117,IF(V117&gt;0,V117,IF(W117&gt;0,W117,"à jumeler")))</f>
        <v>15+5</v>
      </c>
    </row>
    <row r="119" spans="6:65" hidden="1" x14ac:dyDescent="0.2">
      <c r="I119" t="s">
        <v>75</v>
      </c>
      <c r="J119" s="111">
        <f>+IF(K117&gt;0,K119,IF(L117&gt;0,L119,IF(M117&gt;0,M119,0)))</f>
        <v>188</v>
      </c>
      <c r="K119">
        <f>+HLOOKUP(J118,H13:O42,28,FALSE)</f>
        <v>188</v>
      </c>
      <c r="L119">
        <f>+HLOOKUP(L117,AB13:AI41,28,FALSE)</f>
        <v>211</v>
      </c>
      <c r="M119">
        <f>+HLOOKUP(M117,AV13:BC41,28,FALSE)</f>
        <v>272</v>
      </c>
      <c r="T119" s="111">
        <f>+IF(U117&gt;0,U119,IF(V117&gt;0,V119,IF(W117&gt;0,W119,0)))</f>
        <v>211</v>
      </c>
      <c r="U119" t="e">
        <f>+HLOOKUP(U117,R13:Y41,25,FALSE)</f>
        <v>#N/A</v>
      </c>
      <c r="V119">
        <f>+HLOOKUP(V117,AL13:AS41,28,FALSE)</f>
        <v>211</v>
      </c>
      <c r="W119">
        <f>+HLOOKUP(W117,BF13:BM41,28,FALSE)</f>
        <v>272</v>
      </c>
    </row>
    <row r="120" spans="6:65" hidden="1" x14ac:dyDescent="0.2">
      <c r="I120" t="s">
        <v>72</v>
      </c>
      <c r="J120" s="111">
        <f>+IF(K117&gt;0,K120,IF(L117&gt;0,L120,IF(M117&gt;0,M120,0)))</f>
        <v>62.5</v>
      </c>
      <c r="K120">
        <f>+HLOOKUP(J118,H13:O41,29,FALSE)</f>
        <v>62.5</v>
      </c>
      <c r="L120">
        <f>+HLOOKUP(L117,AB13:AI41,29,FALSE)</f>
        <v>70</v>
      </c>
      <c r="M120">
        <f>+HLOOKUP(M117,AV13:BC92,29,FALSE)</f>
        <v>86</v>
      </c>
      <c r="T120" s="111">
        <f>+IF(U117&gt;0,U120,IF(V117&gt;0,V120,IF(W117&gt;0,W120,0)))</f>
        <v>70</v>
      </c>
      <c r="U120" t="e">
        <f>+HLOOKUP(U117,R13:Y41,26,FALSE)</f>
        <v>#N/A</v>
      </c>
      <c r="V120">
        <f>+HLOOKUP(V117,AL13:AS41,29,FALSE)</f>
        <v>70</v>
      </c>
      <c r="W120">
        <f>+HLOOKUP(W117,BF13:BM41,29,FALSE)</f>
        <v>86</v>
      </c>
    </row>
    <row r="121" spans="6:65" hidden="1" x14ac:dyDescent="0.2"/>
    <row r="122" spans="6:65" hidden="1" x14ac:dyDescent="0.2"/>
    <row r="123" spans="6:65" hidden="1" x14ac:dyDescent="0.2">
      <c r="J123" t="s">
        <v>144</v>
      </c>
      <c r="L123" t="s">
        <v>88</v>
      </c>
      <c r="T123" t="s">
        <v>145</v>
      </c>
      <c r="V123" t="s">
        <v>88</v>
      </c>
    </row>
    <row r="124" spans="6:65" hidden="1" x14ac:dyDescent="0.2">
      <c r="G124" t="s">
        <v>170</v>
      </c>
      <c r="K124">
        <v>0</v>
      </c>
      <c r="L124" t="str">
        <f>+AE117</f>
        <v>15+5</v>
      </c>
      <c r="M124" t="str">
        <f>+AY117</f>
        <v>20+5</v>
      </c>
    </row>
    <row r="125" spans="6:65" hidden="1" x14ac:dyDescent="0.2">
      <c r="J125" s="111" t="str">
        <f>+IF(K124&gt;0,K124,IF(L124&gt;0,L124,IF(M124&gt;0,M124,"à jumeler")))</f>
        <v>15+5</v>
      </c>
    </row>
    <row r="126" spans="6:65" hidden="1" x14ac:dyDescent="0.2">
      <c r="J126" s="111">
        <f>+IF(K124&gt;0,K126,IF(L124&gt;0,L126,IF(M124&gt;0,M126,0)))</f>
        <v>211</v>
      </c>
      <c r="L126">
        <f>+HLOOKUP(L117,AB13:AI41,28,FALSE)</f>
        <v>211</v>
      </c>
      <c r="M126">
        <f>+HLOOKUP(M117,AV13:BC41,28,FALSE)</f>
        <v>272</v>
      </c>
    </row>
    <row r="127" spans="6:65" hidden="1" x14ac:dyDescent="0.2">
      <c r="J127" s="111">
        <f>+IF(K124&gt;0,K127,IF(L124&gt;0,L127,IF(M124&gt;0,M127,0)))</f>
        <v>70</v>
      </c>
      <c r="L127">
        <f>+HLOOKUP(L117,AB13:AI41,29,FALSE)</f>
        <v>70</v>
      </c>
      <c r="M127">
        <f>+HLOOKUP(M117,AV13:BC92,29,FALSE)</f>
        <v>86</v>
      </c>
    </row>
    <row r="128" spans="6:65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</sheetData>
  <sheetProtection algorithmName="SHA-512" hashValue="1sQC8DBumj4ELd2krm+lIh6BsSQO8X+9Iv91NKXICOZpkJzaGfxFnts9xKLETkubfv/Zs2kumbdxjYOq45I/bA==" saltValue="Ew9dnRtZ2vAHOIr9GL7GEA==" spinCount="100000" sheet="1" objects="1" scenarios="1"/>
  <mergeCells count="340">
    <mergeCell ref="H40:I40"/>
    <mergeCell ref="J40:K40"/>
    <mergeCell ref="L40:M40"/>
    <mergeCell ref="N40:O40"/>
    <mergeCell ref="R40:S40"/>
    <mergeCell ref="T40:U40"/>
    <mergeCell ref="BF14:BG14"/>
    <mergeCell ref="AL14:AM14"/>
    <mergeCell ref="AN14:AO14"/>
    <mergeCell ref="AP14:AQ14"/>
    <mergeCell ref="AR14:AS14"/>
    <mergeCell ref="AV14:AW14"/>
    <mergeCell ref="AX14:AY14"/>
    <mergeCell ref="N14:O14"/>
    <mergeCell ref="R14:S14"/>
    <mergeCell ref="T14:U14"/>
    <mergeCell ref="V14:W14"/>
    <mergeCell ref="X14:Y14"/>
    <mergeCell ref="AB14:AC14"/>
    <mergeCell ref="AD14:AE14"/>
    <mergeCell ref="AF14:AG14"/>
    <mergeCell ref="AH14:AI14"/>
    <mergeCell ref="H14:I14"/>
    <mergeCell ref="J14:K14"/>
    <mergeCell ref="L14:M14"/>
    <mergeCell ref="N41:O41"/>
    <mergeCell ref="R41:S41"/>
    <mergeCell ref="T41:U41"/>
    <mergeCell ref="AZ40:BA40"/>
    <mergeCell ref="BB40:BC40"/>
    <mergeCell ref="BF40:BG40"/>
    <mergeCell ref="BH40:BI40"/>
    <mergeCell ref="BJ40:BK40"/>
    <mergeCell ref="BL40:BM40"/>
    <mergeCell ref="AL40:AM40"/>
    <mergeCell ref="AN40:AO40"/>
    <mergeCell ref="AP40:AQ40"/>
    <mergeCell ref="AR40:AS40"/>
    <mergeCell ref="AV40:AW40"/>
    <mergeCell ref="AX40:AY40"/>
    <mergeCell ref="V40:W40"/>
    <mergeCell ref="X40:Y40"/>
    <mergeCell ref="AB40:AC40"/>
    <mergeCell ref="AD40:AE40"/>
    <mergeCell ref="AF40:AG40"/>
    <mergeCell ref="AH40:AI40"/>
    <mergeCell ref="H43:I43"/>
    <mergeCell ref="J43:K43"/>
    <mergeCell ref="L43:M43"/>
    <mergeCell ref="N43:O43"/>
    <mergeCell ref="R43:S43"/>
    <mergeCell ref="T43:U43"/>
    <mergeCell ref="AZ41:BA41"/>
    <mergeCell ref="BB41:BC41"/>
    <mergeCell ref="BF41:BG41"/>
    <mergeCell ref="AL41:AM41"/>
    <mergeCell ref="AN41:AO41"/>
    <mergeCell ref="AP41:AQ41"/>
    <mergeCell ref="AR41:AS41"/>
    <mergeCell ref="AV41:AW41"/>
    <mergeCell ref="AX41:AY41"/>
    <mergeCell ref="V41:W41"/>
    <mergeCell ref="X41:Y41"/>
    <mergeCell ref="AB41:AC41"/>
    <mergeCell ref="AD41:AE41"/>
    <mergeCell ref="AF41:AG41"/>
    <mergeCell ref="AH41:AI41"/>
    <mergeCell ref="H41:I41"/>
    <mergeCell ref="J41:K41"/>
    <mergeCell ref="L41:M41"/>
    <mergeCell ref="N60:O60"/>
    <mergeCell ref="R60:S60"/>
    <mergeCell ref="T60:U60"/>
    <mergeCell ref="AZ43:BA43"/>
    <mergeCell ref="BB43:BC43"/>
    <mergeCell ref="BF43:BG43"/>
    <mergeCell ref="BH43:BI43"/>
    <mergeCell ref="BJ43:BK43"/>
    <mergeCell ref="BL43:BM43"/>
    <mergeCell ref="AL43:AM43"/>
    <mergeCell ref="AN43:AO43"/>
    <mergeCell ref="AP43:AQ43"/>
    <mergeCell ref="AR43:AS43"/>
    <mergeCell ref="AV43:AW43"/>
    <mergeCell ref="AX43:AY43"/>
    <mergeCell ref="V43:W43"/>
    <mergeCell ref="X43:Y43"/>
    <mergeCell ref="AB43:AC43"/>
    <mergeCell ref="AD43:AE43"/>
    <mergeCell ref="AF43:AG43"/>
    <mergeCell ref="AH43:AI43"/>
    <mergeCell ref="AD59:AE59"/>
    <mergeCell ref="AF59:AG59"/>
    <mergeCell ref="AH59:AI59"/>
    <mergeCell ref="H86:I86"/>
    <mergeCell ref="J86:K86"/>
    <mergeCell ref="L86:M86"/>
    <mergeCell ref="N86:O86"/>
    <mergeCell ref="R86:S86"/>
    <mergeCell ref="T86:U86"/>
    <mergeCell ref="AZ60:BA60"/>
    <mergeCell ref="BB60:BC60"/>
    <mergeCell ref="BF60:BG60"/>
    <mergeCell ref="AL60:AM60"/>
    <mergeCell ref="AN60:AO60"/>
    <mergeCell ref="AP60:AQ60"/>
    <mergeCell ref="AR60:AS60"/>
    <mergeCell ref="AV60:AW60"/>
    <mergeCell ref="AX60:AY60"/>
    <mergeCell ref="V60:W60"/>
    <mergeCell ref="X60:Y60"/>
    <mergeCell ref="AB60:AC60"/>
    <mergeCell ref="AD60:AE60"/>
    <mergeCell ref="AF60:AG60"/>
    <mergeCell ref="AH60:AI60"/>
    <mergeCell ref="H60:I60"/>
    <mergeCell ref="J60:K60"/>
    <mergeCell ref="L60:M60"/>
    <mergeCell ref="N87:O87"/>
    <mergeCell ref="R87:S87"/>
    <mergeCell ref="T87:U87"/>
    <mergeCell ref="AZ86:BA86"/>
    <mergeCell ref="BB86:BC86"/>
    <mergeCell ref="BF86:BG86"/>
    <mergeCell ref="BH86:BI86"/>
    <mergeCell ref="BJ86:BK86"/>
    <mergeCell ref="BL86:BM86"/>
    <mergeCell ref="AL86:AM86"/>
    <mergeCell ref="AN86:AO86"/>
    <mergeCell ref="AP86:AQ86"/>
    <mergeCell ref="AR86:AS86"/>
    <mergeCell ref="AV86:AW86"/>
    <mergeCell ref="AX86:AY86"/>
    <mergeCell ref="V86:W86"/>
    <mergeCell ref="X86:Y86"/>
    <mergeCell ref="AB86:AC86"/>
    <mergeCell ref="AD86:AE86"/>
    <mergeCell ref="AF86:AG86"/>
    <mergeCell ref="AH86:AI86"/>
    <mergeCell ref="H89:I89"/>
    <mergeCell ref="J89:K89"/>
    <mergeCell ref="L89:M89"/>
    <mergeCell ref="N89:O89"/>
    <mergeCell ref="R89:S89"/>
    <mergeCell ref="T89:U89"/>
    <mergeCell ref="AZ87:BA87"/>
    <mergeCell ref="BB87:BC87"/>
    <mergeCell ref="BF87:BG87"/>
    <mergeCell ref="AL87:AM87"/>
    <mergeCell ref="AN87:AO87"/>
    <mergeCell ref="AP87:AQ87"/>
    <mergeCell ref="AR87:AS87"/>
    <mergeCell ref="AV87:AW87"/>
    <mergeCell ref="AX87:AY87"/>
    <mergeCell ref="V87:W87"/>
    <mergeCell ref="X87:Y87"/>
    <mergeCell ref="AB87:AC87"/>
    <mergeCell ref="AD87:AE87"/>
    <mergeCell ref="AF87:AG87"/>
    <mergeCell ref="AH87:AI87"/>
    <mergeCell ref="H87:I87"/>
    <mergeCell ref="J87:K87"/>
    <mergeCell ref="L87:M87"/>
    <mergeCell ref="AL89:AM89"/>
    <mergeCell ref="AN89:AO89"/>
    <mergeCell ref="AP89:AQ89"/>
    <mergeCell ref="AR89:AS89"/>
    <mergeCell ref="AV89:AW89"/>
    <mergeCell ref="AX89:AY89"/>
    <mergeCell ref="V89:W89"/>
    <mergeCell ref="X89:Y89"/>
    <mergeCell ref="AB89:AC89"/>
    <mergeCell ref="AD89:AE89"/>
    <mergeCell ref="AF89:AG89"/>
    <mergeCell ref="AH89:AI89"/>
    <mergeCell ref="BP14:BQ14"/>
    <mergeCell ref="BR14:BS14"/>
    <mergeCell ref="BT14:BU14"/>
    <mergeCell ref="BV14:BW14"/>
    <mergeCell ref="AZ89:BA89"/>
    <mergeCell ref="BB89:BC89"/>
    <mergeCell ref="BF89:BG89"/>
    <mergeCell ref="BH89:BI89"/>
    <mergeCell ref="BJ89:BK89"/>
    <mergeCell ref="BL89:BM89"/>
    <mergeCell ref="BH87:BI87"/>
    <mergeCell ref="BJ87:BK87"/>
    <mergeCell ref="BL87:BM87"/>
    <mergeCell ref="BH60:BI60"/>
    <mergeCell ref="BJ60:BK60"/>
    <mergeCell ref="BL60:BM60"/>
    <mergeCell ref="BH41:BI41"/>
    <mergeCell ref="BJ41:BK41"/>
    <mergeCell ref="BL41:BM41"/>
    <mergeCell ref="BH14:BI14"/>
    <mergeCell ref="BJ14:BK14"/>
    <mergeCell ref="BL14:BM14"/>
    <mergeCell ref="AZ14:BA14"/>
    <mergeCell ref="BB14:BC14"/>
    <mergeCell ref="H59:I59"/>
    <mergeCell ref="J59:K59"/>
    <mergeCell ref="L59:M59"/>
    <mergeCell ref="N59:O59"/>
    <mergeCell ref="R59:S59"/>
    <mergeCell ref="T59:U59"/>
    <mergeCell ref="V59:W59"/>
    <mergeCell ref="X59:Y59"/>
    <mergeCell ref="AB59:AC59"/>
    <mergeCell ref="AZ13:BA13"/>
    <mergeCell ref="BB13:BC13"/>
    <mergeCell ref="BF13:BG13"/>
    <mergeCell ref="AL59:AM59"/>
    <mergeCell ref="AN59:AO59"/>
    <mergeCell ref="AP59:AQ59"/>
    <mergeCell ref="AR59:AS59"/>
    <mergeCell ref="AV59:AW59"/>
    <mergeCell ref="AX59:AY59"/>
    <mergeCell ref="AZ59:BA59"/>
    <mergeCell ref="BB59:BC59"/>
    <mergeCell ref="BF59:BG59"/>
    <mergeCell ref="AZ101:BA101"/>
    <mergeCell ref="BB101:BC101"/>
    <mergeCell ref="BF101:BG101"/>
    <mergeCell ref="BH59:BI59"/>
    <mergeCell ref="BJ59:BK59"/>
    <mergeCell ref="BL59:BM59"/>
    <mergeCell ref="H13:I13"/>
    <mergeCell ref="J13:K13"/>
    <mergeCell ref="L13:M13"/>
    <mergeCell ref="N13:O13"/>
    <mergeCell ref="R13:S13"/>
    <mergeCell ref="T13:U13"/>
    <mergeCell ref="V13:W13"/>
    <mergeCell ref="X13:Y13"/>
    <mergeCell ref="AB13:AC13"/>
    <mergeCell ref="AD13:AE13"/>
    <mergeCell ref="AF13:AG13"/>
    <mergeCell ref="AH13:AI13"/>
    <mergeCell ref="AL13:AM13"/>
    <mergeCell ref="AN13:AO13"/>
    <mergeCell ref="AP13:AQ13"/>
    <mergeCell ref="AR13:AS13"/>
    <mergeCell ref="AV13:AW13"/>
    <mergeCell ref="AX13:AY13"/>
    <mergeCell ref="AZ102:BA102"/>
    <mergeCell ref="BB102:BC102"/>
    <mergeCell ref="BF102:BG102"/>
    <mergeCell ref="BH13:BI13"/>
    <mergeCell ref="BJ13:BK13"/>
    <mergeCell ref="BL13:BM13"/>
    <mergeCell ref="H101:I101"/>
    <mergeCell ref="J101:K101"/>
    <mergeCell ref="L101:M101"/>
    <mergeCell ref="N101:O101"/>
    <mergeCell ref="R101:S101"/>
    <mergeCell ref="T101:U101"/>
    <mergeCell ref="V101:W101"/>
    <mergeCell ref="X101:Y101"/>
    <mergeCell ref="AB101:AC101"/>
    <mergeCell ref="AD101:AE101"/>
    <mergeCell ref="AF101:AG101"/>
    <mergeCell ref="AH101:AI101"/>
    <mergeCell ref="AL101:AM101"/>
    <mergeCell ref="AN101:AO101"/>
    <mergeCell ref="AP101:AQ101"/>
    <mergeCell ref="AR101:AS101"/>
    <mergeCell ref="AV101:AW101"/>
    <mergeCell ref="AX101:AY101"/>
    <mergeCell ref="AZ113:BA113"/>
    <mergeCell ref="BB113:BC113"/>
    <mergeCell ref="BF113:BG113"/>
    <mergeCell ref="BH101:BI101"/>
    <mergeCell ref="BJ101:BK101"/>
    <mergeCell ref="BL101:BM101"/>
    <mergeCell ref="H102:I102"/>
    <mergeCell ref="J102:K102"/>
    <mergeCell ref="L102:M102"/>
    <mergeCell ref="N102:O102"/>
    <mergeCell ref="R102:S102"/>
    <mergeCell ref="T102:U102"/>
    <mergeCell ref="V102:W102"/>
    <mergeCell ref="X102:Y102"/>
    <mergeCell ref="AB102:AC102"/>
    <mergeCell ref="AD102:AE102"/>
    <mergeCell ref="AF102:AG102"/>
    <mergeCell ref="AH102:AI102"/>
    <mergeCell ref="AL102:AM102"/>
    <mergeCell ref="AN102:AO102"/>
    <mergeCell ref="AP102:AQ102"/>
    <mergeCell ref="AR102:AS102"/>
    <mergeCell ref="AV102:AW102"/>
    <mergeCell ref="AX102:AY102"/>
    <mergeCell ref="AZ114:BA114"/>
    <mergeCell ref="BB114:BC114"/>
    <mergeCell ref="BF114:BG114"/>
    <mergeCell ref="BH102:BI102"/>
    <mergeCell ref="BJ102:BK102"/>
    <mergeCell ref="BL102:BM102"/>
    <mergeCell ref="H113:I113"/>
    <mergeCell ref="J113:K113"/>
    <mergeCell ref="L113:M113"/>
    <mergeCell ref="N113:O113"/>
    <mergeCell ref="R113:S113"/>
    <mergeCell ref="T113:U113"/>
    <mergeCell ref="V113:W113"/>
    <mergeCell ref="X113:Y113"/>
    <mergeCell ref="AB113:AC113"/>
    <mergeCell ref="AD113:AE113"/>
    <mergeCell ref="AF113:AG113"/>
    <mergeCell ref="AH113:AI113"/>
    <mergeCell ref="AL113:AM113"/>
    <mergeCell ref="AN113:AO113"/>
    <mergeCell ref="AP113:AQ113"/>
    <mergeCell ref="AR113:AS113"/>
    <mergeCell ref="AV113:AW113"/>
    <mergeCell ref="AX113:AY113"/>
    <mergeCell ref="BH114:BI114"/>
    <mergeCell ref="BJ114:BK114"/>
    <mergeCell ref="BL114:BM114"/>
    <mergeCell ref="BH113:BI113"/>
    <mergeCell ref="BJ113:BK113"/>
    <mergeCell ref="BL113:BM113"/>
    <mergeCell ref="H114:I114"/>
    <mergeCell ref="J114:K114"/>
    <mergeCell ref="L114:M114"/>
    <mergeCell ref="N114:O114"/>
    <mergeCell ref="R114:S114"/>
    <mergeCell ref="T114:U114"/>
    <mergeCell ref="V114:W114"/>
    <mergeCell ref="X114:Y114"/>
    <mergeCell ref="AB114:AC114"/>
    <mergeCell ref="AD114:AE114"/>
    <mergeCell ref="AF114:AG114"/>
    <mergeCell ref="AH114:AI114"/>
    <mergeCell ref="AL114:AM114"/>
    <mergeCell ref="AN114:AO114"/>
    <mergeCell ref="AP114:AQ114"/>
    <mergeCell ref="AR114:AS114"/>
    <mergeCell ref="AV114:AW114"/>
    <mergeCell ref="AX114:AY114"/>
  </mergeCells>
  <phoneticPr fontId="26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EFCAE-C850-4882-9E6C-32C206DE4BA9}">
  <dimension ref="B4:C18"/>
  <sheetViews>
    <sheetView topLeftCell="A4" zoomScale="160" zoomScaleNormal="160" workbookViewId="0">
      <selection activeCell="D7" sqref="D7"/>
    </sheetView>
  </sheetViews>
  <sheetFormatPr baseColWidth="10" defaultRowHeight="12.75" x14ac:dyDescent="0.2"/>
  <cols>
    <col min="2" max="14" width="30.7109375" customWidth="1"/>
  </cols>
  <sheetData>
    <row r="4" spans="2:3" x14ac:dyDescent="0.2">
      <c r="B4" t="s">
        <v>51</v>
      </c>
      <c r="C4" t="s">
        <v>52</v>
      </c>
    </row>
    <row r="5" spans="2:3" ht="99.95" customHeight="1" x14ac:dyDescent="0.2">
      <c r="B5">
        <v>1</v>
      </c>
    </row>
    <row r="6" spans="2:3" ht="99.95" customHeight="1" x14ac:dyDescent="0.2">
      <c r="B6">
        <v>2</v>
      </c>
    </row>
    <row r="7" spans="2:3" ht="99.95" customHeight="1" x14ac:dyDescent="0.2">
      <c r="B7">
        <v>3</v>
      </c>
    </row>
    <row r="8" spans="2:3" ht="99.95" customHeight="1" x14ac:dyDescent="0.2">
      <c r="B8">
        <v>4</v>
      </c>
    </row>
    <row r="9" spans="2:3" ht="99.95" customHeight="1" x14ac:dyDescent="0.2">
      <c r="B9">
        <v>5</v>
      </c>
    </row>
    <row r="10" spans="2:3" ht="99.95" customHeight="1" x14ac:dyDescent="0.2">
      <c r="B10">
        <v>6</v>
      </c>
    </row>
    <row r="11" spans="2:3" ht="99.95" customHeight="1" x14ac:dyDescent="0.2"/>
    <row r="12" spans="2:3" ht="99.95" customHeight="1" x14ac:dyDescent="0.2"/>
    <row r="13" spans="2:3" ht="99.95" customHeight="1" x14ac:dyDescent="0.2"/>
    <row r="14" spans="2:3" ht="99.95" customHeight="1" x14ac:dyDescent="0.2"/>
    <row r="15" spans="2:3" ht="99.95" customHeight="1" x14ac:dyDescent="0.2"/>
    <row r="16" spans="2:3" ht="99.95" customHeight="1" x14ac:dyDescent="0.2"/>
    <row r="17" ht="99.95" customHeight="1" x14ac:dyDescent="0.2"/>
    <row r="18" ht="99.95" customHeight="1" x14ac:dyDescent="0.2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DIM</vt:lpstr>
      <vt:lpstr>descriptif</vt:lpstr>
      <vt:lpstr>AIDE</vt:lpstr>
      <vt:lpstr>polyseac</vt:lpstr>
      <vt:lpstr>ebsvs</vt:lpstr>
      <vt:lpstr>plastivs</vt:lpstr>
      <vt:lpstr>seacisol</vt:lpstr>
      <vt:lpstr>ebset</vt:lpstr>
      <vt:lpstr>images</vt:lpstr>
      <vt:lpstr>GF SE VS Polyseac Jum</vt:lpstr>
      <vt:lpstr>nomproduit</vt:lpstr>
      <vt:lpstr>DIM!Zone_d_impression</vt:lpstr>
    </vt:vector>
  </TitlesOfParts>
  <Company>GUIRAUD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Marchesin P.</dc:creator>
  <cp:lastModifiedBy>Cabos Céline</cp:lastModifiedBy>
  <cp:lastPrinted>2025-09-11T07:51:05Z</cp:lastPrinted>
  <dcterms:created xsi:type="dcterms:W3CDTF">1999-10-12T09:34:53Z</dcterms:created>
  <dcterms:modified xsi:type="dcterms:W3CDTF">2025-09-19T09:38:03Z</dcterms:modified>
</cp:coreProperties>
</file>