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pader\Dropbox\plancher\"/>
    </mc:Choice>
  </mc:AlternateContent>
  <xr:revisionPtr revIDLastSave="0" documentId="13_ncr:1_{2F36E234-5A38-45A7-9D5D-F1EE7ACFFD91}" xr6:coauthVersionLast="47" xr6:coauthVersionMax="47" xr10:uidLastSave="{00000000-0000-0000-0000-000000000000}"/>
  <workbookProtection workbookAlgorithmName="SHA-512" workbookHashValue="LomLqJMq5yY42vKPZ+pFNviOEoqPyFhCD4xQe5vshl1cap/O+11VNuBE8um8jW31hnSqesr9kaEYQGBIpDnVig==" workbookSaltValue="LFfQndIbtGCQYlhAtshrVQ==" workbookSpinCount="100000" lockStructure="1"/>
  <bookViews>
    <workbookView showHorizontalScroll="0" showVerticalScroll="0" showSheetTabs="0" xWindow="-120" yWindow="-120" windowWidth="29040" windowHeight="15720" tabRatio="793" autoFilterDateGrouping="0" xr2:uid="{AA08820D-2175-40A0-AFC0-7FC53516D558}"/>
  </bookViews>
  <sheets>
    <sheet name="DIM" sheetId="30" r:id="rId1"/>
    <sheet name="descriptif" sheetId="38" r:id="rId2"/>
    <sheet name="AIDE" sheetId="37" r:id="rId3"/>
    <sheet name="polyseac" sheetId="31" r:id="rId4"/>
    <sheet name="ebsvs" sheetId="33" r:id="rId5"/>
    <sheet name="plastivs" sheetId="34" r:id="rId6"/>
    <sheet name="seacisol" sheetId="36" r:id="rId7"/>
    <sheet name="ebset" sheetId="35" r:id="rId8"/>
    <sheet name="seacbois" sheetId="41" r:id="rId9"/>
    <sheet name="images" sheetId="32" r:id="rId10"/>
    <sheet name="acv" sheetId="42" r:id="rId11"/>
    <sheet name="GF SE VS Polyseac Jum" sheetId="26" state="hidden" r:id="rId12"/>
  </sheets>
  <definedNames>
    <definedName name="geometrie">#REF!</definedName>
    <definedName name="nomproduit">images!$B$5:$B$11</definedName>
    <definedName name="NOTE_DE_CALCUL">#REF!</definedName>
    <definedName name="photo">OFFSET(images!$C$4,MATCH(DIM!$G$32,nomproduit,0),0)</definedName>
    <definedName name="position">#REF!</definedName>
    <definedName name="_xlnm.Print_Area" localSheetId="0">DIM!$G$2:$U$46</definedName>
  </definedNames>
  <calcPr calcId="181029"/>
  <customWorkbookViews>
    <customWorkbookView name="TRANCH (CALCPLLE)" guid="{8096D78E-774E-11D3-AB73-000003A8EDFF}" maximized="1" xWindow="1" yWindow="1" windowWidth="797" windowHeight="468" activeSheetId="1" showFormulaBar="0" showStatusbar="0"/>
    <customWorkbookView name="SOLLI (CALCPLLE)" guid="{8096D78D-774E-11D3-AB73-000003A8EDFF}" maximized="1" xWindow="1" yWindow="1" windowWidth="797" windowHeight="468" activeSheetId="1" showFormulaBar="0" showStatusbar="0"/>
    <customWorkbookView name="PROVI (CALCPLLE)" guid="{8096D78C-774E-11D3-AB73-000003A8EDFF}" maximized="1" xWindow="1" yWindow="1" windowWidth="797" windowHeight="468" activeSheetId="1" showFormulaBar="0" showStatusbar="0"/>
    <customWorkbookView name="PRIX (CALCPLLE)" guid="{8096D78B-774E-11D3-AB73-000003A8EDFF}" maximized="1" xWindow="1" yWindow="1" windowWidth="797" windowHeight="549" activeSheetId="1" showFormulaBar="0" showStatusbar="0"/>
    <customWorkbookView name="MONTA (CALCPLLE)" guid="{8096D78A-774E-11D3-AB73-000003A8EDFF}" maximized="1" xWindow="1" yWindow="1" windowWidth="797" windowHeight="468" activeSheetId="1" showFormulaBar="0" showStatusbar="0"/>
    <customWorkbookView name="MELU (CALCPLLE)" guid="{8096D789-774E-11D3-AB73-000003A8EDFF}" maximized="1" xWindow="1" yWindow="1" windowWidth="797" windowHeight="468" activeSheetId="1" showFormulaBar="0" showStatusbar="0"/>
    <customWorkbookView name="MELS (CALCPLLE)" guid="{8096D788-774E-11D3-AB73-000003A8EDFF}" maximized="1" xWindow="1" yWindow="1" windowWidth="797" windowHeight="468" activeSheetId="1" showFormulaBar="0" showStatusbar="0"/>
    <customWorkbookView name="ITER (CALCPLLE)" guid="{8096D787-774E-11D3-AB73-000003A8EDFF}" maximized="1" xWindow="1" yWindow="1" windowWidth="797" windowHeight="468" activeSheetId="1" showFormulaBar="0" showStatusbar="0"/>
    <customWorkbookView name="GEOME (CALCPLLE)" guid="{8096D786-774E-11D3-AB73-000003A8EDFF}" maximized="1" xWindow="1" yWindow="1" windowWidth="797" windowHeight="468" activeSheetId="1" showFormulaBar="0" showStatusbar="0"/>
    <customWorkbookView name="FLECH (CALCPLLE)" guid="{8096D785-774E-11D3-AB73-000003A8EDFF}" maximized="1" xWindow="1" yWindow="1" windowWidth="797" windowHeight="468" activeSheetId="1" showFormulaBar="0" showStatusbar="0"/>
    <customWorkbookView name="EQUIV (CALCPLLE)" guid="{8096D784-774E-11D3-AB73-000003A8EDFF}" maximized="1" xWindow="1" yWindow="1" windowWidth="797" windowHeight="468" activeSheetId="1" showFormulaBar="0" showStatusbar="0"/>
    <customWorkbookView name="DIMEN (CALCPLLE)" guid="{8096D783-774E-11D3-AB73-000003A8EDFF}" maximized="1" xWindow="1" yWindow="1" windowWidth="997" windowHeight="699" activeSheetId="1" showFormulaBar="0" showStatusbar="0"/>
    <customWorkbookView name="COMPA (CALCPLLE)" guid="{8096D782-774E-11D3-AB73-000003A8EDFF}" maximized="1" xWindow="1" yWindow="1" windowWidth="797" windowHeight="468" activeSheetId="1" showFormulaBar="0" showStatusbar="0"/>
    <customWorkbookView name="CHAP (CALCPLLE)" guid="{8096D781-774E-11D3-AB73-000003A8EDFF}" maximized="1" xWindow="1" yWindow="1" windowWidth="797" windowHeight="468" activeSheetId="1" showFormulaBar="0" showStatusbar="0"/>
    <customWorkbookView name="ANCRA (CALCPLLE)" guid="{8096D780-774E-11D3-AB73-000003A8EDFF}" maximized="1" xWindow="1" yWindow="1" windowWidth="797" windowHeight="468" activeSheetId="1" showFormulaBar="0" showStatusbar="0"/>
  </customWorkbookViews>
</workbook>
</file>

<file path=xl/calcChain.xml><?xml version="1.0" encoding="utf-8"?>
<calcChain xmlns="http://schemas.openxmlformats.org/spreadsheetml/2006/main">
  <c r="X52" i="42" l="1"/>
  <c r="AA77" i="42"/>
  <c r="O17" i="42"/>
  <c r="X19" i="42"/>
  <c r="AB72" i="42"/>
  <c r="AA74" i="42"/>
  <c r="D38" i="42"/>
  <c r="D29" i="42"/>
  <c r="X49" i="42"/>
  <c r="X77" i="42"/>
  <c r="X76" i="42"/>
  <c r="X75" i="42"/>
  <c r="X74" i="42"/>
  <c r="AR70" i="42"/>
  <c r="AL70" i="42"/>
  <c r="AR69" i="42"/>
  <c r="AL69" i="42"/>
  <c r="AR68" i="42"/>
  <c r="AL68" i="42"/>
  <c r="X58" i="42"/>
  <c r="X55" i="42"/>
  <c r="D40" i="42"/>
  <c r="D39" i="42"/>
  <c r="D37" i="42"/>
  <c r="AX26" i="42"/>
  <c r="AW26" i="42"/>
  <c r="AV26" i="42"/>
  <c r="AU26" i="42"/>
  <c r="AA26" i="42"/>
  <c r="Z26" i="42" s="1"/>
  <c r="X26" i="42"/>
  <c r="AX25" i="42"/>
  <c r="AW25" i="42"/>
  <c r="AV25" i="42"/>
  <c r="AU25" i="42"/>
  <c r="BB25" i="42" s="1"/>
  <c r="AA25" i="42"/>
  <c r="Z25" i="42" s="1"/>
  <c r="G17" i="42" s="1"/>
  <c r="D26" i="42" s="1"/>
  <c r="X25" i="42"/>
  <c r="BB24" i="42"/>
  <c r="AX24" i="42"/>
  <c r="AW24" i="42"/>
  <c r="AV24" i="42"/>
  <c r="AU24" i="42"/>
  <c r="AA24" i="42"/>
  <c r="Z24" i="42" s="1"/>
  <c r="X24" i="42"/>
  <c r="AX23" i="42"/>
  <c r="AW23" i="42"/>
  <c r="AV23" i="42"/>
  <c r="AU23" i="42"/>
  <c r="BB23" i="42" s="1"/>
  <c r="AX19" i="42"/>
  <c r="AW19" i="42"/>
  <c r="AV19" i="42"/>
  <c r="AU19" i="42"/>
  <c r="AX18" i="42"/>
  <c r="AW18" i="42"/>
  <c r="AV18" i="42"/>
  <c r="AU18" i="42"/>
  <c r="AX17" i="42"/>
  <c r="AW17" i="42"/>
  <c r="AV17" i="42"/>
  <c r="AU17" i="42"/>
  <c r="K17" i="42"/>
  <c r="J26" i="42" s="1"/>
  <c r="F17" i="42"/>
  <c r="BA15" i="42"/>
  <c r="BB15" i="42" s="1"/>
  <c r="BA14" i="42"/>
  <c r="BB14" i="42" s="1"/>
  <c r="BA13" i="42"/>
  <c r="BB13" i="42" s="1"/>
  <c r="AA75" i="42" l="1"/>
  <c r="AA76" i="42"/>
  <c r="I17" i="42"/>
  <c r="H26" i="42" s="1"/>
  <c r="N17" i="42" l="1"/>
  <c r="P17" i="42" s="1"/>
  <c r="L26" i="42" s="1"/>
  <c r="L31" i="42" s="1"/>
  <c r="Q37" i="30" l="1"/>
  <c r="Q25" i="30"/>
  <c r="M120" i="34"/>
  <c r="J81" i="33"/>
  <c r="J80" i="33"/>
  <c r="J79" i="33"/>
  <c r="J76" i="33"/>
  <c r="J74" i="33"/>
  <c r="J73" i="33"/>
  <c r="J72" i="33"/>
  <c r="J71" i="33"/>
  <c r="J68" i="33"/>
  <c r="J67" i="33"/>
  <c r="AI37" i="30"/>
  <c r="AI31" i="30"/>
  <c r="AF4" i="30"/>
  <c r="AF15" i="30" s="1"/>
  <c r="AD22" i="30"/>
  <c r="AE15" i="30"/>
  <c r="AF16" i="30" l="1"/>
  <c r="AF17" i="30"/>
  <c r="AH46" i="30"/>
  <c r="BL115" i="41" l="1"/>
  <c r="BJ115" i="41"/>
  <c r="BH115" i="41"/>
  <c r="BB115" i="41"/>
  <c r="AZ115" i="41"/>
  <c r="AX115" i="41"/>
  <c r="AR115" i="41"/>
  <c r="AP115" i="41"/>
  <c r="AN115" i="41"/>
  <c r="AH115" i="41"/>
  <c r="AF115" i="41"/>
  <c r="AD115" i="41"/>
  <c r="X115" i="41"/>
  <c r="V115" i="41"/>
  <c r="T115" i="41"/>
  <c r="N115" i="41"/>
  <c r="L115" i="41"/>
  <c r="J115" i="41"/>
  <c r="BL103" i="41"/>
  <c r="BJ103" i="41"/>
  <c r="BH103" i="41"/>
  <c r="BB103" i="41"/>
  <c r="AZ103" i="41"/>
  <c r="AX103" i="41"/>
  <c r="AR103" i="41"/>
  <c r="AP103" i="41"/>
  <c r="AN103" i="41"/>
  <c r="AH103" i="41"/>
  <c r="AF103" i="41"/>
  <c r="AD103" i="41"/>
  <c r="X103" i="41"/>
  <c r="V103" i="41"/>
  <c r="T103" i="41"/>
  <c r="N103" i="41"/>
  <c r="L103" i="41"/>
  <c r="J103" i="41"/>
  <c r="F102" i="41"/>
  <c r="G92" i="41"/>
  <c r="E91" i="41"/>
  <c r="AK90" i="41"/>
  <c r="AO93" i="41" s="1"/>
  <c r="AA90" i="41"/>
  <c r="AE93" i="41" s="1"/>
  <c r="I94" i="41" s="1"/>
  <c r="Q90" i="41"/>
  <c r="U93" i="41" s="1"/>
  <c r="G90" i="41"/>
  <c r="K92" i="41" s="1"/>
  <c r="H93" i="41" s="1"/>
  <c r="G89" i="41"/>
  <c r="J81" i="41"/>
  <c r="J80" i="41"/>
  <c r="J79" i="41"/>
  <c r="J76" i="41"/>
  <c r="J74" i="41"/>
  <c r="J73" i="41"/>
  <c r="J72" i="41"/>
  <c r="J71" i="41"/>
  <c r="J68" i="41"/>
  <c r="J67" i="41"/>
  <c r="E45" i="41"/>
  <c r="AA44" i="41"/>
  <c r="AE46" i="41" s="1"/>
  <c r="H48" i="41" s="1"/>
  <c r="Q44" i="41"/>
  <c r="U45" i="41" s="1"/>
  <c r="U48" i="41" s="1"/>
  <c r="G44" i="41"/>
  <c r="K47" i="41" s="1"/>
  <c r="I47" i="41" s="1"/>
  <c r="AH37" i="41"/>
  <c r="AG37" i="41"/>
  <c r="AF37" i="41"/>
  <c r="AD37" i="41"/>
  <c r="AI29" i="41"/>
  <c r="AH29" i="41"/>
  <c r="AF29" i="41"/>
  <c r="AE29" i="41"/>
  <c r="BL115" i="35"/>
  <c r="BJ115" i="35"/>
  <c r="BH115" i="35"/>
  <c r="BB115" i="35"/>
  <c r="AZ115" i="35"/>
  <c r="AX115" i="35"/>
  <c r="AR115" i="35"/>
  <c r="AP115" i="35"/>
  <c r="AN115" i="35"/>
  <c r="AH115" i="35"/>
  <c r="AF115" i="35"/>
  <c r="AD115" i="35"/>
  <c r="X115" i="35"/>
  <c r="V115" i="35"/>
  <c r="T115" i="35"/>
  <c r="N115" i="35"/>
  <c r="L115" i="35"/>
  <c r="J115" i="35"/>
  <c r="BL103" i="35"/>
  <c r="BJ103" i="35"/>
  <c r="BH103" i="35"/>
  <c r="BB103" i="35"/>
  <c r="AZ103" i="35"/>
  <c r="AX103" i="35"/>
  <c r="AR103" i="35"/>
  <c r="AP103" i="35"/>
  <c r="AN103" i="35"/>
  <c r="AH103" i="35"/>
  <c r="AF103" i="35"/>
  <c r="AD103" i="35"/>
  <c r="X103" i="35"/>
  <c r="V103" i="35"/>
  <c r="T103" i="35"/>
  <c r="N103" i="35"/>
  <c r="L103" i="35"/>
  <c r="J103" i="35"/>
  <c r="AE91" i="41" l="1"/>
  <c r="AE94" i="41" s="1"/>
  <c r="J94" i="41" s="1"/>
  <c r="K93" i="41"/>
  <c r="I93" i="41" s="1"/>
  <c r="G98" i="41" s="1"/>
  <c r="U91" i="41"/>
  <c r="U94" i="41" s="1"/>
  <c r="AE47" i="41"/>
  <c r="I48" i="41" s="1"/>
  <c r="G52" i="41" s="1"/>
  <c r="K91" i="41"/>
  <c r="K94" i="41" s="1"/>
  <c r="J93" i="41" s="1"/>
  <c r="U92" i="41"/>
  <c r="K45" i="41"/>
  <c r="K48" i="41" s="1"/>
  <c r="J47" i="41" s="1"/>
  <c r="AE45" i="41"/>
  <c r="AE48" i="41" s="1"/>
  <c r="J48" i="41" s="1"/>
  <c r="U47" i="41"/>
  <c r="AE92" i="41"/>
  <c r="H94" i="41" s="1"/>
  <c r="G97" i="41" s="1"/>
  <c r="AO92" i="41"/>
  <c r="K46" i="41"/>
  <c r="H47" i="41" s="1"/>
  <c r="G51" i="41" s="1"/>
  <c r="AU90" i="41"/>
  <c r="AO91" i="41"/>
  <c r="AO94" i="41" s="1"/>
  <c r="U46" i="41"/>
  <c r="AK44" i="41"/>
  <c r="BL64" i="36"/>
  <c r="BJ64" i="36"/>
  <c r="BH64" i="36"/>
  <c r="BB64" i="36"/>
  <c r="AZ64" i="36"/>
  <c r="AX64" i="36"/>
  <c r="AR64" i="36"/>
  <c r="AP64" i="36"/>
  <c r="AN64" i="36"/>
  <c r="AH64" i="36"/>
  <c r="AF64" i="36"/>
  <c r="AD64" i="36"/>
  <c r="X64" i="36"/>
  <c r="V64" i="36"/>
  <c r="T64" i="36"/>
  <c r="N64" i="36"/>
  <c r="L64" i="36"/>
  <c r="J64" i="36"/>
  <c r="AY93" i="41" l="1"/>
  <c r="I95" i="41" s="1"/>
  <c r="BE90" i="41"/>
  <c r="AY91" i="41"/>
  <c r="AY94" i="41" s="1"/>
  <c r="J95" i="41" s="1"/>
  <c r="AY92" i="41"/>
  <c r="H95" i="41" s="1"/>
  <c r="AO47" i="41"/>
  <c r="AO45" i="41"/>
  <c r="AO48" i="41" s="1"/>
  <c r="G53" i="41" s="1"/>
  <c r="AI30" i="30" s="1"/>
  <c r="AU44" i="41"/>
  <c r="AO46" i="41"/>
  <c r="AR103" i="34"/>
  <c r="AP103" i="34"/>
  <c r="AN103" i="34"/>
  <c r="AH103" i="34"/>
  <c r="AF103" i="34"/>
  <c r="AD103" i="34"/>
  <c r="X103" i="34"/>
  <c r="V103" i="34"/>
  <c r="T103" i="34"/>
  <c r="N103" i="34"/>
  <c r="L103" i="34"/>
  <c r="J103" i="34"/>
  <c r="AR115" i="34"/>
  <c r="AP115" i="34"/>
  <c r="AN115" i="34"/>
  <c r="AH115" i="34"/>
  <c r="AF115" i="34"/>
  <c r="AD115" i="34"/>
  <c r="X115" i="34"/>
  <c r="V115" i="34"/>
  <c r="T115" i="34"/>
  <c r="N115" i="34"/>
  <c r="L115" i="34"/>
  <c r="J115" i="34"/>
  <c r="BL115" i="33"/>
  <c r="BJ115" i="33"/>
  <c r="BH115" i="33"/>
  <c r="BL103" i="33"/>
  <c r="BJ103" i="33"/>
  <c r="BH103" i="33"/>
  <c r="BB115" i="33"/>
  <c r="AZ115" i="33"/>
  <c r="AX115" i="33"/>
  <c r="BB103" i="33"/>
  <c r="AZ103" i="33"/>
  <c r="AX103" i="33"/>
  <c r="AR115" i="33"/>
  <c r="AP115" i="33"/>
  <c r="AN115" i="33"/>
  <c r="AR103" i="33"/>
  <c r="AP103" i="33"/>
  <c r="AN103" i="33"/>
  <c r="AH115" i="33"/>
  <c r="AF115" i="33"/>
  <c r="AD115" i="33"/>
  <c r="AH103" i="33"/>
  <c r="AF103" i="33"/>
  <c r="AD103" i="33"/>
  <c r="X103" i="33"/>
  <c r="V103" i="33"/>
  <c r="T103" i="33"/>
  <c r="N103" i="33"/>
  <c r="L103" i="33"/>
  <c r="J103" i="33"/>
  <c r="X115" i="33"/>
  <c r="V115" i="33"/>
  <c r="T115" i="33"/>
  <c r="N115" i="33"/>
  <c r="L115" i="33"/>
  <c r="J115" i="33"/>
  <c r="G56" i="31"/>
  <c r="H62" i="31"/>
  <c r="AC31" i="30"/>
  <c r="H56" i="31" l="1"/>
  <c r="R56" i="31"/>
  <c r="G99" i="41"/>
  <c r="AI38" i="30" s="1"/>
  <c r="AY47" i="41"/>
  <c r="I49" i="41" s="1"/>
  <c r="AY45" i="41"/>
  <c r="AY48" i="41" s="1"/>
  <c r="J49" i="41" s="1"/>
  <c r="AY46" i="41"/>
  <c r="H49" i="41" s="1"/>
  <c r="BE44" i="41"/>
  <c r="BI91" i="41"/>
  <c r="BI94" i="41" s="1"/>
  <c r="BI92" i="41"/>
  <c r="BI93" i="41"/>
  <c r="J56" i="31"/>
  <c r="X56" i="31"/>
  <c r="AA56" i="31"/>
  <c r="AD56" i="31" s="1"/>
  <c r="AT56" i="31"/>
  <c r="BB56" i="31" s="1"/>
  <c r="L56" i="31"/>
  <c r="N56" i="31"/>
  <c r="T56" i="31"/>
  <c r="V56" i="31"/>
  <c r="BI45" i="41" l="1"/>
  <c r="BI48" i="41" s="1"/>
  <c r="BI47" i="41"/>
  <c r="BI46" i="41"/>
  <c r="BF56" i="31"/>
  <c r="AX56" i="31"/>
  <c r="AB56" i="31"/>
  <c r="BJ56" i="31"/>
  <c r="AZ56" i="31"/>
  <c r="BH56" i="31"/>
  <c r="AL56" i="31"/>
  <c r="BL56" i="31"/>
  <c r="AV56" i="31"/>
  <c r="AN56" i="31"/>
  <c r="AR56" i="31"/>
  <c r="AP56" i="31"/>
  <c r="AH56" i="31"/>
  <c r="AS32" i="35" l="1"/>
  <c r="BL63" i="35"/>
  <c r="BH17" i="35"/>
  <c r="BJ17" i="35" s="1"/>
  <c r="AS17" i="35"/>
  <c r="AY32" i="36"/>
  <c r="AX32" i="36"/>
  <c r="AZ32" i="36" s="1"/>
  <c r="AN24" i="36"/>
  <c r="AE32" i="36"/>
  <c r="AD32" i="36"/>
  <c r="AF32" i="36" s="1"/>
  <c r="L32" i="36"/>
  <c r="N32" i="36" s="1"/>
  <c r="M32" i="36"/>
  <c r="AN17" i="36"/>
  <c r="AF17" i="36"/>
  <c r="L17" i="36"/>
  <c r="K17" i="36"/>
  <c r="M17" i="36" s="1"/>
  <c r="L78" i="34"/>
  <c r="N78" i="34" s="1"/>
  <c r="M78" i="34"/>
  <c r="O78" i="34" s="1"/>
  <c r="AC63" i="34"/>
  <c r="AB63" i="34"/>
  <c r="X63" i="34"/>
  <c r="M63" i="34"/>
  <c r="O63" i="34" s="1"/>
  <c r="L63" i="34"/>
  <c r="N63" i="34" s="1"/>
  <c r="AK20" i="30" a="1"/>
  <c r="AK20" i="30" s="1"/>
  <c r="F102" i="35"/>
  <c r="V114" i="35" s="1"/>
  <c r="F63" i="36"/>
  <c r="F102" i="34"/>
  <c r="BB114" i="34" s="1"/>
  <c r="F102" i="33"/>
  <c r="F55" i="31"/>
  <c r="E45" i="36"/>
  <c r="E45" i="34"/>
  <c r="E91" i="34"/>
  <c r="E45" i="33"/>
  <c r="E91" i="33"/>
  <c r="Q88" i="41" l="1"/>
  <c r="AU42" i="41"/>
  <c r="AK88" i="41"/>
  <c r="AA88" i="41"/>
  <c r="G88" i="41"/>
  <c r="BE42" i="41"/>
  <c r="BE88" i="41"/>
  <c r="AK42" i="41"/>
  <c r="AU88" i="41"/>
  <c r="G42" i="41"/>
  <c r="Q42" i="41"/>
  <c r="AA42" i="41"/>
  <c r="R114" i="35"/>
  <c r="T114" i="35"/>
  <c r="X114" i="35"/>
  <c r="L102" i="35"/>
  <c r="N102" i="35"/>
  <c r="J102" i="35"/>
  <c r="H102" i="35"/>
  <c r="BF114" i="34"/>
  <c r="BH114" i="34"/>
  <c r="BJ114" i="34"/>
  <c r="BL114" i="34"/>
  <c r="AV102" i="34"/>
  <c r="AX102" i="34"/>
  <c r="AZ102" i="34"/>
  <c r="BB102" i="34"/>
  <c r="BF102" i="34"/>
  <c r="AV114" i="34"/>
  <c r="BH102" i="34"/>
  <c r="AX114" i="34"/>
  <c r="BJ102" i="34"/>
  <c r="AZ114" i="34"/>
  <c r="BL102" i="34"/>
  <c r="T67" i="33"/>
  <c r="T68" i="33"/>
  <c r="T69" i="33"/>
  <c r="T72" i="33"/>
  <c r="T73" i="33"/>
  <c r="T74" i="33"/>
  <c r="T76" i="33"/>
  <c r="T79" i="33"/>
  <c r="T80" i="33"/>
  <c r="T81" i="33"/>
  <c r="T82" i="33"/>
  <c r="T66" i="33"/>
  <c r="AD31" i="30"/>
  <c r="AE37" i="30"/>
  <c r="AE31" i="30"/>
  <c r="E45" i="31"/>
  <c r="BC23" i="36"/>
  <c r="BB22" i="36"/>
  <c r="BB23" i="36"/>
  <c r="BB25" i="36"/>
  <c r="BB21" i="36"/>
  <c r="AZ27" i="36"/>
  <c r="BB27" i="36" s="1"/>
  <c r="AX23" i="36"/>
  <c r="AX25" i="36"/>
  <c r="AX26" i="36"/>
  <c r="AZ26" i="36" s="1"/>
  <c r="BB26" i="36" s="1"/>
  <c r="AX27" i="36"/>
  <c r="AX28" i="36"/>
  <c r="AZ28" i="36" s="1"/>
  <c r="BB28" i="36" s="1"/>
  <c r="AX29" i="36"/>
  <c r="AZ29" i="36" s="1"/>
  <c r="BB29" i="36" s="1"/>
  <c r="AX30" i="36"/>
  <c r="AZ30" i="36" s="1"/>
  <c r="BB30" i="36" s="1"/>
  <c r="AX31" i="36"/>
  <c r="AZ31" i="36" s="1"/>
  <c r="BB31" i="36" s="1"/>
  <c r="AX33" i="36"/>
  <c r="AZ33" i="36" s="1"/>
  <c r="BB33" i="36" s="1"/>
  <c r="AX34" i="36"/>
  <c r="AZ34" i="36" s="1"/>
  <c r="BB34" i="36" s="1"/>
  <c r="AX35" i="36"/>
  <c r="AZ35" i="36" s="1"/>
  <c r="BB35" i="36" s="1"/>
  <c r="AX36" i="36"/>
  <c r="AZ36" i="36" s="1"/>
  <c r="BB36" i="36" s="1"/>
  <c r="AX37" i="36"/>
  <c r="AZ37" i="36" s="1"/>
  <c r="BB37" i="36" s="1"/>
  <c r="AX38" i="36"/>
  <c r="AX22" i="36"/>
  <c r="AY23" i="36"/>
  <c r="AY25" i="36"/>
  <c r="AY26" i="36"/>
  <c r="AY27" i="36"/>
  <c r="BA27" i="36" s="1"/>
  <c r="AY28" i="36"/>
  <c r="BA28" i="36" s="1"/>
  <c r="BC28" i="36" s="1"/>
  <c r="AY29" i="36"/>
  <c r="BA29" i="36" s="1"/>
  <c r="BC29" i="36" s="1"/>
  <c r="AY30" i="36"/>
  <c r="BA30" i="36" s="1"/>
  <c r="BC30" i="36" s="1"/>
  <c r="AY31" i="36"/>
  <c r="BA31" i="36" s="1"/>
  <c r="BC31" i="36" s="1"/>
  <c r="AY33" i="36"/>
  <c r="BA33" i="36" s="1"/>
  <c r="BC33" i="36" s="1"/>
  <c r="AY34" i="36"/>
  <c r="BA34" i="36" s="1"/>
  <c r="BC34" i="36" s="1"/>
  <c r="AY35" i="36"/>
  <c r="BA35" i="36" s="1"/>
  <c r="BC35" i="36" s="1"/>
  <c r="AY36" i="36"/>
  <c r="BA36" i="36" s="1"/>
  <c r="AY37" i="36"/>
  <c r="AY22" i="36"/>
  <c r="AN18" i="36"/>
  <c r="AN19" i="36"/>
  <c r="AN20" i="36"/>
  <c r="AN21" i="36"/>
  <c r="AN22" i="36"/>
  <c r="AN23" i="36"/>
  <c r="AN25" i="36"/>
  <c r="AN26" i="36"/>
  <c r="AN27" i="36"/>
  <c r="AN28" i="36"/>
  <c r="AN29" i="36"/>
  <c r="AN30" i="36"/>
  <c r="AN31" i="36"/>
  <c r="AN16" i="36"/>
  <c r="AH39" i="36"/>
  <c r="AG18" i="36"/>
  <c r="AF19" i="36"/>
  <c r="AH19" i="36" s="1"/>
  <c r="AF35" i="36"/>
  <c r="AH35" i="36" s="1"/>
  <c r="AF36" i="36"/>
  <c r="AH36" i="36" s="1"/>
  <c r="AF21" i="36"/>
  <c r="AH21" i="36" s="1"/>
  <c r="AF18" i="36"/>
  <c r="AF20" i="36"/>
  <c r="AH20" i="36" s="1"/>
  <c r="AE25" i="36"/>
  <c r="AG25" i="36" s="1"/>
  <c r="AI25" i="36" s="1"/>
  <c r="AE26" i="36"/>
  <c r="AG26" i="36" s="1"/>
  <c r="AI26" i="36" s="1"/>
  <c r="AE27" i="36"/>
  <c r="AG27" i="36" s="1"/>
  <c r="AI27" i="36" s="1"/>
  <c r="AE28" i="36"/>
  <c r="AG28" i="36" s="1"/>
  <c r="AI28" i="36" s="1"/>
  <c r="AE29" i="36"/>
  <c r="AG29" i="36" s="1"/>
  <c r="AI29" i="36" s="1"/>
  <c r="AE30" i="36"/>
  <c r="AG30" i="36" s="1"/>
  <c r="AI30" i="36" s="1"/>
  <c r="AE31" i="36"/>
  <c r="AE33" i="36"/>
  <c r="AG33" i="36" s="1"/>
  <c r="AI33" i="36" s="1"/>
  <c r="AE34" i="36"/>
  <c r="AG34" i="36" s="1"/>
  <c r="AI34" i="36" s="1"/>
  <c r="AE35" i="36"/>
  <c r="AG35" i="36" s="1"/>
  <c r="AI35" i="36" s="1"/>
  <c r="AE36" i="36"/>
  <c r="AG36" i="36" s="1"/>
  <c r="AI36" i="36" s="1"/>
  <c r="AE37" i="36"/>
  <c r="AG37" i="36" s="1"/>
  <c r="AI37" i="36" s="1"/>
  <c r="AE19" i="36"/>
  <c r="AG19" i="36" s="1"/>
  <c r="AE20" i="36"/>
  <c r="AG20" i="36" s="1"/>
  <c r="AE21" i="36"/>
  <c r="AG21" i="36" s="1"/>
  <c r="AI21" i="36" s="1"/>
  <c r="AE22" i="36"/>
  <c r="AG22" i="36" s="1"/>
  <c r="AI22" i="36" s="1"/>
  <c r="AD22" i="36"/>
  <c r="AF22" i="36" s="1"/>
  <c r="AH22" i="36" s="1"/>
  <c r="AE23" i="36"/>
  <c r="AG23" i="36" s="1"/>
  <c r="AI23" i="36" s="1"/>
  <c r="AD23" i="36"/>
  <c r="AF23" i="36" s="1"/>
  <c r="AH23" i="36" s="1"/>
  <c r="AD25" i="36"/>
  <c r="AF25" i="36" s="1"/>
  <c r="AH25" i="36" s="1"/>
  <c r="AD26" i="36"/>
  <c r="AF26" i="36" s="1"/>
  <c r="AH26" i="36" s="1"/>
  <c r="AD27" i="36"/>
  <c r="AF27" i="36" s="1"/>
  <c r="AH27" i="36" s="1"/>
  <c r="AD28" i="36"/>
  <c r="AF28" i="36" s="1"/>
  <c r="AH28" i="36" s="1"/>
  <c r="AD29" i="36"/>
  <c r="AF29" i="36" s="1"/>
  <c r="AH29" i="36" s="1"/>
  <c r="AD30" i="36"/>
  <c r="AF30" i="36" s="1"/>
  <c r="AH30" i="36" s="1"/>
  <c r="AD31" i="36"/>
  <c r="AF31" i="36" s="1"/>
  <c r="AD33" i="36"/>
  <c r="AF33" i="36" s="1"/>
  <c r="AH33" i="36" s="1"/>
  <c r="AD34" i="36"/>
  <c r="AF34" i="36" s="1"/>
  <c r="AH34" i="36" s="1"/>
  <c r="AD37" i="36"/>
  <c r="AF37" i="36" s="1"/>
  <c r="AD38" i="36"/>
  <c r="AD39" i="36"/>
  <c r="L18" i="36"/>
  <c r="L19" i="36"/>
  <c r="L20" i="36"/>
  <c r="L21" i="36"/>
  <c r="N21" i="36" s="1"/>
  <c r="L22" i="36"/>
  <c r="N22" i="36" s="1"/>
  <c r="L23" i="36"/>
  <c r="N23" i="36" s="1"/>
  <c r="L25" i="36"/>
  <c r="N25" i="36" s="1"/>
  <c r="L26" i="36"/>
  <c r="N26" i="36" s="1"/>
  <c r="L27" i="36"/>
  <c r="N27" i="36" s="1"/>
  <c r="L28" i="36"/>
  <c r="N28" i="36" s="1"/>
  <c r="L29" i="36"/>
  <c r="N29" i="36" s="1"/>
  <c r="L30" i="36"/>
  <c r="N30" i="36" s="1"/>
  <c r="L31" i="36"/>
  <c r="N31" i="36" s="1"/>
  <c r="L33" i="36"/>
  <c r="L34" i="36"/>
  <c r="L35" i="36"/>
  <c r="L36" i="36"/>
  <c r="L37" i="36"/>
  <c r="L38" i="36"/>
  <c r="L39" i="36"/>
  <c r="K18" i="36"/>
  <c r="M18" i="36" s="1"/>
  <c r="O18" i="36" s="1"/>
  <c r="K19" i="36"/>
  <c r="M19" i="36" s="1"/>
  <c r="O19" i="36" s="1"/>
  <c r="K20" i="36"/>
  <c r="M20" i="36" s="1"/>
  <c r="O20" i="36" s="1"/>
  <c r="K21" i="36"/>
  <c r="M21" i="36" s="1"/>
  <c r="O21" i="36" s="1"/>
  <c r="K22" i="36"/>
  <c r="M22" i="36" s="1"/>
  <c r="O22" i="36" s="1"/>
  <c r="K23" i="36"/>
  <c r="M23" i="36" s="1"/>
  <c r="O23" i="36" s="1"/>
  <c r="K25" i="36"/>
  <c r="M25" i="36" s="1"/>
  <c r="O25" i="36" s="1"/>
  <c r="K26" i="36"/>
  <c r="M26" i="36" s="1"/>
  <c r="O26" i="36" s="1"/>
  <c r="K27" i="36"/>
  <c r="M27" i="36" s="1"/>
  <c r="O27" i="36" s="1"/>
  <c r="K28" i="36"/>
  <c r="M28" i="36" s="1"/>
  <c r="O28" i="36" s="1"/>
  <c r="K29" i="36"/>
  <c r="M29" i="36" s="1"/>
  <c r="O29" i="36" s="1"/>
  <c r="K30" i="36"/>
  <c r="M30" i="36" s="1"/>
  <c r="O30" i="36" s="1"/>
  <c r="K31" i="36"/>
  <c r="M31" i="36" s="1"/>
  <c r="O31" i="36" s="1"/>
  <c r="K33" i="36"/>
  <c r="M33" i="36" s="1"/>
  <c r="O33" i="36" s="1"/>
  <c r="K34" i="36"/>
  <c r="M34" i="36" s="1"/>
  <c r="O34" i="36" s="1"/>
  <c r="K35" i="36"/>
  <c r="M35" i="36" s="1"/>
  <c r="O35" i="36" s="1"/>
  <c r="K36" i="36"/>
  <c r="M36" i="36" s="1"/>
  <c r="O36" i="36" s="1"/>
  <c r="K37" i="36"/>
  <c r="M37" i="36" s="1"/>
  <c r="O37" i="36" s="1"/>
  <c r="K38" i="36"/>
  <c r="M38" i="36" s="1"/>
  <c r="O38" i="36" s="1"/>
  <c r="K39" i="36"/>
  <c r="M39" i="36" s="1"/>
  <c r="O39" i="36" s="1"/>
  <c r="BF88" i="41" l="1"/>
  <c r="BK88" i="41"/>
  <c r="BI88" i="41"/>
  <c r="BL88" i="41"/>
  <c r="BH88" i="41"/>
  <c r="BJ88" i="41"/>
  <c r="BG88" i="41"/>
  <c r="BM88" i="41"/>
  <c r="BJ42" i="41"/>
  <c r="BI42" i="41"/>
  <c r="BH42" i="41"/>
  <c r="BK42" i="41"/>
  <c r="BF42" i="41"/>
  <c r="BL42" i="41"/>
  <c r="BG42" i="41"/>
  <c r="BM42" i="41"/>
  <c r="AR42" i="41"/>
  <c r="AN42" i="41"/>
  <c r="AL42" i="41"/>
  <c r="AS42" i="41"/>
  <c r="AO42" i="41"/>
  <c r="AQ42" i="41"/>
  <c r="AM42" i="41"/>
  <c r="AP42" i="41"/>
  <c r="M88" i="41"/>
  <c r="I88" i="41"/>
  <c r="H88" i="41"/>
  <c r="L88" i="41"/>
  <c r="J88" i="41"/>
  <c r="K88" i="41"/>
  <c r="N88" i="41"/>
  <c r="O88" i="41"/>
  <c r="AI42" i="41"/>
  <c r="AD42" i="41"/>
  <c r="AB42" i="41"/>
  <c r="AE42" i="41"/>
  <c r="AG42" i="41"/>
  <c r="AC42" i="41"/>
  <c r="AF42" i="41"/>
  <c r="AH42" i="41"/>
  <c r="AE88" i="41"/>
  <c r="AF88" i="41"/>
  <c r="AB88" i="41"/>
  <c r="AD88" i="41"/>
  <c r="AG88" i="41"/>
  <c r="AH88" i="41"/>
  <c r="AI88" i="41"/>
  <c r="AC88" i="41"/>
  <c r="AN88" i="41"/>
  <c r="AR88" i="41"/>
  <c r="AL88" i="41"/>
  <c r="AQ88" i="41"/>
  <c r="AO88" i="41"/>
  <c r="AP88" i="41"/>
  <c r="AM88" i="41"/>
  <c r="AS88" i="41"/>
  <c r="I42" i="41"/>
  <c r="N42" i="41"/>
  <c r="M42" i="41"/>
  <c r="K42" i="41"/>
  <c r="L42" i="41"/>
  <c r="H42" i="41"/>
  <c r="J42" i="41"/>
  <c r="O42" i="41"/>
  <c r="AW88" i="41"/>
  <c r="AV42" i="41"/>
  <c r="BA88" i="41"/>
  <c r="AZ42" i="41"/>
  <c r="AY42" i="41"/>
  <c r="BC88" i="41"/>
  <c r="BA42" i="41"/>
  <c r="BB42" i="41"/>
  <c r="AX88" i="41"/>
  <c r="AZ88" i="41"/>
  <c r="AY88" i="41"/>
  <c r="AV88" i="41"/>
  <c r="BB88" i="41"/>
  <c r="AX42" i="41"/>
  <c r="AW42" i="41"/>
  <c r="BC42" i="41"/>
  <c r="R42" i="41"/>
  <c r="T42" i="41"/>
  <c r="W42" i="41"/>
  <c r="U42" i="41"/>
  <c r="Y42" i="41"/>
  <c r="X42" i="41"/>
  <c r="V42" i="41"/>
  <c r="S42" i="41"/>
  <c r="V88" i="41"/>
  <c r="X88" i="41"/>
  <c r="S88" i="41"/>
  <c r="U88" i="41"/>
  <c r="R88" i="41"/>
  <c r="T88" i="41"/>
  <c r="Y88" i="41"/>
  <c r="W88" i="41"/>
  <c r="U117" i="35"/>
  <c r="K105" i="35"/>
  <c r="K109" i="35" s="1"/>
  <c r="BI117" i="34"/>
  <c r="W117" i="34" s="1"/>
  <c r="AY105" i="34"/>
  <c r="BI105" i="34"/>
  <c r="AY117" i="34"/>
  <c r="M117" i="34" s="1"/>
  <c r="G46" i="36"/>
  <c r="AA44" i="36"/>
  <c r="Q44" i="36"/>
  <c r="G44" i="36"/>
  <c r="E91" i="35"/>
  <c r="E45" i="35"/>
  <c r="AD37" i="30"/>
  <c r="G92" i="35"/>
  <c r="G46" i="35"/>
  <c r="BL64" i="35"/>
  <c r="BL65" i="35"/>
  <c r="BL71" i="35"/>
  <c r="BL75" i="35"/>
  <c r="BL76" i="35"/>
  <c r="BL77" i="35"/>
  <c r="BL80" i="35"/>
  <c r="BL81" i="35"/>
  <c r="BL82" i="35"/>
  <c r="BL83" i="35"/>
  <c r="BL84" i="35"/>
  <c r="BL85" i="35"/>
  <c r="BL62" i="35"/>
  <c r="BH18" i="35"/>
  <c r="BJ18" i="35" s="1"/>
  <c r="AS18" i="35"/>
  <c r="AS19" i="35"/>
  <c r="AS20" i="35"/>
  <c r="AS21" i="35"/>
  <c r="AS22" i="35"/>
  <c r="AS23" i="35"/>
  <c r="AS25" i="35"/>
  <c r="AS26" i="35"/>
  <c r="AS27" i="35"/>
  <c r="AS28" i="35"/>
  <c r="AS29" i="35"/>
  <c r="AS30" i="35"/>
  <c r="AS31" i="35"/>
  <c r="AS33" i="35"/>
  <c r="AS34" i="35"/>
  <c r="AS35" i="35"/>
  <c r="AS36" i="35"/>
  <c r="AS37" i="35"/>
  <c r="AS38" i="35"/>
  <c r="AS39" i="35"/>
  <c r="AK90" i="35"/>
  <c r="AA90" i="35"/>
  <c r="Q90" i="35"/>
  <c r="U91" i="35" s="1"/>
  <c r="U94" i="35" s="1"/>
  <c r="G90" i="35"/>
  <c r="K92" i="35" s="1"/>
  <c r="G89" i="35"/>
  <c r="AA44" i="35"/>
  <c r="Q44" i="35"/>
  <c r="U46" i="35" s="1"/>
  <c r="G44" i="35"/>
  <c r="AH37" i="35"/>
  <c r="AG37" i="35"/>
  <c r="AF37" i="35"/>
  <c r="AD37" i="35"/>
  <c r="AC37" i="35"/>
  <c r="AB37" i="35"/>
  <c r="AI29" i="35"/>
  <c r="AH29" i="35"/>
  <c r="AF29" i="35"/>
  <c r="AE29" i="35"/>
  <c r="AR72" i="34"/>
  <c r="AS72" i="34"/>
  <c r="AR73" i="34"/>
  <c r="AS73" i="34"/>
  <c r="AR74" i="34"/>
  <c r="AS74" i="34"/>
  <c r="AR75" i="34"/>
  <c r="AS75" i="34"/>
  <c r="AR76" i="34"/>
  <c r="AS76" i="34"/>
  <c r="AR77" i="34"/>
  <c r="AS77" i="34"/>
  <c r="AR79" i="34"/>
  <c r="AS79" i="34"/>
  <c r="AR80" i="34"/>
  <c r="AS80" i="34"/>
  <c r="AR81" i="34"/>
  <c r="AS81" i="34"/>
  <c r="AR82" i="34"/>
  <c r="AS82" i="34"/>
  <c r="AR83" i="34"/>
  <c r="AS83" i="34"/>
  <c r="AR84" i="34"/>
  <c r="AS84" i="34"/>
  <c r="AR85" i="34"/>
  <c r="AS85" i="34"/>
  <c r="AR71" i="34"/>
  <c r="AF64" i="34"/>
  <c r="AD64" i="34" s="1"/>
  <c r="AB64" i="34" s="1"/>
  <c r="AG64" i="34"/>
  <c r="AE64" i="34" s="1"/>
  <c r="AC64" i="34" s="1"/>
  <c r="AF65" i="34"/>
  <c r="AD65" i="34" s="1"/>
  <c r="AB65" i="34" s="1"/>
  <c r="AG65" i="34"/>
  <c r="AE65" i="34" s="1"/>
  <c r="AC65" i="34" s="1"/>
  <c r="AF66" i="34"/>
  <c r="AD66" i="34" s="1"/>
  <c r="AB66" i="34" s="1"/>
  <c r="AG66" i="34"/>
  <c r="AE66" i="34" s="1"/>
  <c r="AC66" i="34" s="1"/>
  <c r="AF67" i="34"/>
  <c r="AD67" i="34" s="1"/>
  <c r="AB67" i="34" s="1"/>
  <c r="AG67" i="34"/>
  <c r="AE67" i="34" s="1"/>
  <c r="AC67" i="34" s="1"/>
  <c r="AF68" i="34"/>
  <c r="AD68" i="34" s="1"/>
  <c r="AB68" i="34" s="1"/>
  <c r="AG68" i="34"/>
  <c r="AE68" i="34" s="1"/>
  <c r="AC68" i="34" s="1"/>
  <c r="AF69" i="34"/>
  <c r="AD69" i="34" s="1"/>
  <c r="AB69" i="34" s="1"/>
  <c r="AG69" i="34"/>
  <c r="AE69" i="34" s="1"/>
  <c r="AC69" i="34" s="1"/>
  <c r="AF71" i="34"/>
  <c r="AD71" i="34" s="1"/>
  <c r="AB71" i="34" s="1"/>
  <c r="AG71" i="34"/>
  <c r="AE71" i="34" s="1"/>
  <c r="AF72" i="34"/>
  <c r="AD72" i="34" s="1"/>
  <c r="AB72" i="34" s="1"/>
  <c r="AG72" i="34"/>
  <c r="AE72" i="34" s="1"/>
  <c r="AC72" i="34" s="1"/>
  <c r="AF73" i="34"/>
  <c r="AD73" i="34" s="1"/>
  <c r="AB73" i="34" s="1"/>
  <c r="AG73" i="34"/>
  <c r="AE73" i="34" s="1"/>
  <c r="AC73" i="34" s="1"/>
  <c r="AF74" i="34"/>
  <c r="AD74" i="34" s="1"/>
  <c r="AB74" i="34" s="1"/>
  <c r="AG74" i="34"/>
  <c r="AE74" i="34" s="1"/>
  <c r="AC74" i="34" s="1"/>
  <c r="AF75" i="34"/>
  <c r="AD75" i="34" s="1"/>
  <c r="AB75" i="34" s="1"/>
  <c r="AG75" i="34"/>
  <c r="AE75" i="34" s="1"/>
  <c r="AC75" i="34" s="1"/>
  <c r="AF76" i="34"/>
  <c r="AD76" i="34" s="1"/>
  <c r="AB76" i="34" s="1"/>
  <c r="AG76" i="34"/>
  <c r="AE76" i="34" s="1"/>
  <c r="AC76" i="34" s="1"/>
  <c r="AF77" i="34"/>
  <c r="AD77" i="34" s="1"/>
  <c r="AB77" i="34" s="1"/>
  <c r="AG77" i="34"/>
  <c r="AE77" i="34" s="1"/>
  <c r="AC77" i="34" s="1"/>
  <c r="AF79" i="34"/>
  <c r="AD79" i="34" s="1"/>
  <c r="AB79" i="34" s="1"/>
  <c r="AG79" i="34"/>
  <c r="AE79" i="34" s="1"/>
  <c r="AC79" i="34" s="1"/>
  <c r="AF80" i="34"/>
  <c r="AD80" i="34" s="1"/>
  <c r="AB80" i="34" s="1"/>
  <c r="AG80" i="34"/>
  <c r="AE80" i="34" s="1"/>
  <c r="AC80" i="34" s="1"/>
  <c r="AF81" i="34"/>
  <c r="AD81" i="34" s="1"/>
  <c r="AB81" i="34" s="1"/>
  <c r="AG81" i="34"/>
  <c r="AE81" i="34" s="1"/>
  <c r="AC81" i="34" s="1"/>
  <c r="AF82" i="34"/>
  <c r="AD82" i="34" s="1"/>
  <c r="AB82" i="34" s="1"/>
  <c r="AG82" i="34"/>
  <c r="AE82" i="34" s="1"/>
  <c r="AC82" i="34" s="1"/>
  <c r="AF83" i="34"/>
  <c r="AD83" i="34" s="1"/>
  <c r="AB83" i="34" s="1"/>
  <c r="AG83" i="34"/>
  <c r="AE83" i="34" s="1"/>
  <c r="AC83" i="34" s="1"/>
  <c r="AF84" i="34"/>
  <c r="AD84" i="34" s="1"/>
  <c r="AB84" i="34" s="1"/>
  <c r="AG84" i="34"/>
  <c r="AE84" i="34" s="1"/>
  <c r="AC84" i="34" s="1"/>
  <c r="AF85" i="34"/>
  <c r="AD85" i="34" s="1"/>
  <c r="AB85" i="34" s="1"/>
  <c r="AG85" i="34"/>
  <c r="AE85" i="34" s="1"/>
  <c r="AC85" i="34" s="1"/>
  <c r="Y65" i="34"/>
  <c r="Y66" i="34"/>
  <c r="Y67" i="34"/>
  <c r="Y68" i="34"/>
  <c r="Y69" i="34"/>
  <c r="Y71" i="34"/>
  <c r="Y72" i="34"/>
  <c r="Y73" i="34"/>
  <c r="Y74" i="34"/>
  <c r="Y75" i="34"/>
  <c r="Y76" i="34"/>
  <c r="Y77" i="34"/>
  <c r="Y79" i="34"/>
  <c r="Y80" i="34"/>
  <c r="Y81" i="34"/>
  <c r="Y82" i="34"/>
  <c r="Y83" i="34"/>
  <c r="Y84" i="34"/>
  <c r="Y85" i="34"/>
  <c r="Y64" i="34"/>
  <c r="X64" i="34"/>
  <c r="X65" i="34"/>
  <c r="X66" i="34"/>
  <c r="X67" i="34"/>
  <c r="X68" i="34"/>
  <c r="X69" i="34"/>
  <c r="X71" i="34"/>
  <c r="X72" i="34"/>
  <c r="X73" i="34"/>
  <c r="X74" i="34"/>
  <c r="X75" i="34"/>
  <c r="X76" i="34"/>
  <c r="X77" i="34"/>
  <c r="X79" i="34"/>
  <c r="X80" i="34"/>
  <c r="X81" i="34"/>
  <c r="X82" i="34"/>
  <c r="X83" i="34"/>
  <c r="X84" i="34"/>
  <c r="X85" i="34"/>
  <c r="L64" i="34"/>
  <c r="N64" i="34" s="1"/>
  <c r="M64" i="34"/>
  <c r="O64" i="34" s="1"/>
  <c r="L65" i="34"/>
  <c r="N65" i="34" s="1"/>
  <c r="M65" i="34"/>
  <c r="O65" i="34" s="1"/>
  <c r="L66" i="34"/>
  <c r="N66" i="34" s="1"/>
  <c r="M66" i="34"/>
  <c r="O66" i="34" s="1"/>
  <c r="L67" i="34"/>
  <c r="N67" i="34" s="1"/>
  <c r="M67" i="34"/>
  <c r="O67" i="34" s="1"/>
  <c r="L68" i="34"/>
  <c r="N68" i="34" s="1"/>
  <c r="M68" i="34"/>
  <c r="O68" i="34" s="1"/>
  <c r="L69" i="34"/>
  <c r="N69" i="34" s="1"/>
  <c r="M69" i="34"/>
  <c r="O69" i="34" s="1"/>
  <c r="L71" i="34"/>
  <c r="N71" i="34" s="1"/>
  <c r="M71" i="34"/>
  <c r="O71" i="34" s="1"/>
  <c r="L72" i="34"/>
  <c r="N72" i="34" s="1"/>
  <c r="M72" i="34"/>
  <c r="O72" i="34" s="1"/>
  <c r="L73" i="34"/>
  <c r="N73" i="34" s="1"/>
  <c r="M73" i="34"/>
  <c r="O73" i="34" s="1"/>
  <c r="L74" i="34"/>
  <c r="N74" i="34" s="1"/>
  <c r="M74" i="34"/>
  <c r="O74" i="34" s="1"/>
  <c r="L75" i="34"/>
  <c r="N75" i="34" s="1"/>
  <c r="M75" i="34"/>
  <c r="O75" i="34" s="1"/>
  <c r="L76" i="34"/>
  <c r="N76" i="34" s="1"/>
  <c r="M76" i="34"/>
  <c r="O76" i="34" s="1"/>
  <c r="L77" i="34"/>
  <c r="N77" i="34" s="1"/>
  <c r="M77" i="34"/>
  <c r="O77" i="34" s="1"/>
  <c r="L79" i="34"/>
  <c r="N79" i="34" s="1"/>
  <c r="M79" i="34"/>
  <c r="O79" i="34" s="1"/>
  <c r="L80" i="34"/>
  <c r="N80" i="34" s="1"/>
  <c r="M80" i="34"/>
  <c r="O80" i="34" s="1"/>
  <c r="L81" i="34"/>
  <c r="N81" i="34" s="1"/>
  <c r="M81" i="34"/>
  <c r="O81" i="34" s="1"/>
  <c r="L82" i="34"/>
  <c r="N82" i="34" s="1"/>
  <c r="M82" i="34"/>
  <c r="O82" i="34" s="1"/>
  <c r="L83" i="34"/>
  <c r="N83" i="34" s="1"/>
  <c r="M83" i="34"/>
  <c r="O83" i="34" s="1"/>
  <c r="L84" i="34"/>
  <c r="N84" i="34" s="1"/>
  <c r="M84" i="34"/>
  <c r="O84" i="34" s="1"/>
  <c r="L85" i="34"/>
  <c r="N85" i="34" s="1"/>
  <c r="M85" i="34"/>
  <c r="O85" i="34" s="1"/>
  <c r="G90" i="34"/>
  <c r="K91" i="34" s="1"/>
  <c r="K94" i="34" s="1"/>
  <c r="Q90" i="34"/>
  <c r="U91" i="34" s="1"/>
  <c r="U94" i="34" s="1"/>
  <c r="AA90" i="34"/>
  <c r="AE91" i="34" s="1"/>
  <c r="AE94" i="34" s="1"/>
  <c r="AK90" i="34"/>
  <c r="AO91" i="34" s="1"/>
  <c r="AO94" i="34" s="1"/>
  <c r="Q90" i="33"/>
  <c r="G90" i="33"/>
  <c r="AA90" i="33"/>
  <c r="AK90" i="33"/>
  <c r="G92" i="33"/>
  <c r="G89" i="33"/>
  <c r="G46" i="34"/>
  <c r="AA44" i="34"/>
  <c r="Q44" i="34"/>
  <c r="G44" i="34"/>
  <c r="AD37" i="34"/>
  <c r="AC37" i="33"/>
  <c r="AD37" i="33"/>
  <c r="AF37" i="33"/>
  <c r="AG37" i="33"/>
  <c r="AH37" i="33"/>
  <c r="AB37" i="33"/>
  <c r="AE29" i="33"/>
  <c r="AF29" i="33"/>
  <c r="AH29" i="33"/>
  <c r="AI29" i="33"/>
  <c r="AU44" i="31"/>
  <c r="AK44" i="31"/>
  <c r="U120" i="35" l="1"/>
  <c r="U121" i="35"/>
  <c r="J94" i="34"/>
  <c r="J93" i="34"/>
  <c r="B90" i="35"/>
  <c r="AH37" i="30" s="1"/>
  <c r="B44" i="35"/>
  <c r="AH31" i="30" s="1"/>
  <c r="K47" i="35"/>
  <c r="K46" i="35"/>
  <c r="H47" i="35" s="1"/>
  <c r="U93" i="34"/>
  <c r="U92" i="34"/>
  <c r="U47" i="36"/>
  <c r="U46" i="36"/>
  <c r="K93" i="34"/>
  <c r="K92" i="34"/>
  <c r="AE46" i="35"/>
  <c r="AE47" i="35"/>
  <c r="AE45" i="36"/>
  <c r="AE48" i="36" s="1"/>
  <c r="AE46" i="36"/>
  <c r="AE47" i="36"/>
  <c r="K47" i="36"/>
  <c r="K46" i="36"/>
  <c r="AE93" i="34"/>
  <c r="AE92" i="34"/>
  <c r="K47" i="34"/>
  <c r="K46" i="34"/>
  <c r="U47" i="34"/>
  <c r="U46" i="34"/>
  <c r="AE92" i="35"/>
  <c r="H94" i="35" s="1"/>
  <c r="AE93" i="35"/>
  <c r="AE47" i="34"/>
  <c r="AE46" i="34"/>
  <c r="AO93" i="34"/>
  <c r="AO92" i="34"/>
  <c r="AO93" i="35"/>
  <c r="AO92" i="35"/>
  <c r="AO91" i="33"/>
  <c r="AO94" i="33" s="1"/>
  <c r="AO93" i="33"/>
  <c r="AO92" i="33"/>
  <c r="AE93" i="33"/>
  <c r="AE92" i="33"/>
  <c r="K92" i="33"/>
  <c r="K93" i="33"/>
  <c r="U91" i="33"/>
  <c r="U94" i="33" s="1"/>
  <c r="U93" i="33"/>
  <c r="U92" i="33"/>
  <c r="AO47" i="31"/>
  <c r="AO46" i="31"/>
  <c r="AY47" i="31"/>
  <c r="AY46" i="31"/>
  <c r="U119" i="35"/>
  <c r="G45" i="36"/>
  <c r="AF31" i="30" s="1"/>
  <c r="P36" i="30" s="1"/>
  <c r="W119" i="34"/>
  <c r="W120" i="34"/>
  <c r="M121" i="34"/>
  <c r="M119" i="34"/>
  <c r="W105" i="34"/>
  <c r="M105" i="34"/>
  <c r="M107" i="34" s="1"/>
  <c r="G45" i="35"/>
  <c r="AG31" i="30" s="1"/>
  <c r="G91" i="35"/>
  <c r="AG37" i="30" s="1"/>
  <c r="AK44" i="36"/>
  <c r="K45" i="36"/>
  <c r="K48" i="36" s="1"/>
  <c r="U45" i="36"/>
  <c r="U48" i="36" s="1"/>
  <c r="AE91" i="35"/>
  <c r="AE94" i="35" s="1"/>
  <c r="J94" i="35" s="1"/>
  <c r="K45" i="35"/>
  <c r="K48" i="35" s="1"/>
  <c r="J47" i="35" s="1"/>
  <c r="K91" i="35"/>
  <c r="K94" i="35" s="1"/>
  <c r="J93" i="35" s="1"/>
  <c r="AO91" i="35"/>
  <c r="AO94" i="35" s="1"/>
  <c r="AK44" i="35"/>
  <c r="U47" i="35"/>
  <c r="AU90" i="35"/>
  <c r="U93" i="35"/>
  <c r="U45" i="35"/>
  <c r="U48" i="35" s="1"/>
  <c r="AE45" i="35"/>
  <c r="AE48" i="35" s="1"/>
  <c r="J48" i="35" s="1"/>
  <c r="G53" i="35" s="1"/>
  <c r="K93" i="35"/>
  <c r="U92" i="35"/>
  <c r="G92" i="34"/>
  <c r="K91" i="33"/>
  <c r="K94" i="33" s="1"/>
  <c r="AE91" i="33"/>
  <c r="AE94" i="33" s="1"/>
  <c r="AE45" i="34"/>
  <c r="AE48" i="34" s="1"/>
  <c r="K45" i="34"/>
  <c r="K48" i="34" s="1"/>
  <c r="U45" i="34"/>
  <c r="U48" i="34" s="1"/>
  <c r="AK44" i="34"/>
  <c r="AY45" i="31"/>
  <c r="BE44" i="31"/>
  <c r="G46" i="33"/>
  <c r="AA44" i="33"/>
  <c r="Q44" i="33"/>
  <c r="G44" i="33"/>
  <c r="G99" i="35" l="1"/>
  <c r="AG38" i="30" s="1"/>
  <c r="G99" i="34"/>
  <c r="AE38" i="30" s="1"/>
  <c r="H47" i="34"/>
  <c r="J47" i="34"/>
  <c r="J47" i="36"/>
  <c r="AH30" i="30"/>
  <c r="AG30" i="30"/>
  <c r="J94" i="33"/>
  <c r="J93" i="33"/>
  <c r="H93" i="34"/>
  <c r="I47" i="36"/>
  <c r="I47" i="35"/>
  <c r="AO47" i="34"/>
  <c r="I48" i="34" s="1"/>
  <c r="AO46" i="34"/>
  <c r="AY92" i="35"/>
  <c r="AY93" i="35"/>
  <c r="AO46" i="36"/>
  <c r="H48" i="36" s="1"/>
  <c r="AO47" i="36"/>
  <c r="I48" i="36" s="1"/>
  <c r="AO47" i="35"/>
  <c r="AO46" i="35"/>
  <c r="H48" i="35" s="1"/>
  <c r="K46" i="33"/>
  <c r="K47" i="33"/>
  <c r="U47" i="33"/>
  <c r="U46" i="33"/>
  <c r="AE46" i="33"/>
  <c r="AE47" i="33"/>
  <c r="BI47" i="31"/>
  <c r="BI46" i="31"/>
  <c r="M108" i="34"/>
  <c r="W108" i="34"/>
  <c r="W107" i="34"/>
  <c r="H47" i="36"/>
  <c r="AO45" i="36"/>
  <c r="AO48" i="36" s="1"/>
  <c r="J48" i="36" s="1"/>
  <c r="AU44" i="36"/>
  <c r="I93" i="34"/>
  <c r="I94" i="35"/>
  <c r="BE90" i="35"/>
  <c r="AY91" i="35"/>
  <c r="AY94" i="35" s="1"/>
  <c r="J95" i="35" s="1"/>
  <c r="I47" i="34"/>
  <c r="AU44" i="35"/>
  <c r="AO45" i="35"/>
  <c r="AO48" i="35" s="1"/>
  <c r="I48" i="35"/>
  <c r="H93" i="33"/>
  <c r="I93" i="33"/>
  <c r="H94" i="34"/>
  <c r="I94" i="34"/>
  <c r="AU90" i="33"/>
  <c r="I94" i="33"/>
  <c r="H94" i="33"/>
  <c r="AO45" i="34"/>
  <c r="AO48" i="34" s="1"/>
  <c r="J48" i="34" s="1"/>
  <c r="U45" i="33"/>
  <c r="U48" i="33" s="1"/>
  <c r="BI45" i="31"/>
  <c r="AE45" i="33"/>
  <c r="AE48" i="33" s="1"/>
  <c r="AK44" i="33"/>
  <c r="K45" i="33"/>
  <c r="K48" i="33" s="1"/>
  <c r="AA44" i="31"/>
  <c r="G46" i="31"/>
  <c r="T12" i="30"/>
  <c r="G53" i="34" l="1"/>
  <c r="AE30" i="30" s="1"/>
  <c r="AI35" i="30"/>
  <c r="AH38" i="30"/>
  <c r="AI36" i="30"/>
  <c r="G99" i="33"/>
  <c r="AD38" i="30" s="1"/>
  <c r="J47" i="33"/>
  <c r="AY47" i="36"/>
  <c r="AY46" i="36"/>
  <c r="AY46" i="35"/>
  <c r="AY47" i="35"/>
  <c r="BI93" i="35"/>
  <c r="I95" i="35" s="1"/>
  <c r="BI92" i="35"/>
  <c r="H95" i="35" s="1"/>
  <c r="AO47" i="33"/>
  <c r="I48" i="33" s="1"/>
  <c r="AO46" i="33"/>
  <c r="H48" i="33" s="1"/>
  <c r="AY91" i="33"/>
  <c r="AY94" i="33" s="1"/>
  <c r="AY92" i="33"/>
  <c r="AY93" i="33"/>
  <c r="AE47" i="31"/>
  <c r="I48" i="31" s="1"/>
  <c r="AE46" i="31"/>
  <c r="H48" i="31" s="1"/>
  <c r="G52" i="34"/>
  <c r="AE29" i="30" s="1"/>
  <c r="G98" i="34"/>
  <c r="AE36" i="30" s="1"/>
  <c r="G97" i="34"/>
  <c r="AE35" i="30" s="1"/>
  <c r="BE44" i="36"/>
  <c r="AY45" i="36"/>
  <c r="AY48" i="36" s="1"/>
  <c r="H47" i="33"/>
  <c r="I47" i="33"/>
  <c r="AY45" i="35"/>
  <c r="AY48" i="35" s="1"/>
  <c r="J49" i="35" s="1"/>
  <c r="BE44" i="35"/>
  <c r="BI91" i="35"/>
  <c r="BI94" i="35" s="1"/>
  <c r="H48" i="34"/>
  <c r="I49" i="31"/>
  <c r="H49" i="31"/>
  <c r="BE90" i="33"/>
  <c r="AU44" i="33"/>
  <c r="AO45" i="33"/>
  <c r="AO48" i="33" s="1"/>
  <c r="J48" i="33" s="1"/>
  <c r="AE45" i="31"/>
  <c r="G32" i="30"/>
  <c r="Q44" i="31"/>
  <c r="G44" i="31"/>
  <c r="G45" i="31" s="1"/>
  <c r="AD15" i="30"/>
  <c r="G53" i="33" l="1"/>
  <c r="AD30" i="30" s="1"/>
  <c r="N89" i="41"/>
  <c r="AX43" i="41"/>
  <c r="H89" i="41"/>
  <c r="L89" i="41"/>
  <c r="AH89" i="41"/>
  <c r="AF89" i="41"/>
  <c r="AV43" i="41"/>
  <c r="J89" i="41"/>
  <c r="J43" i="41"/>
  <c r="R89" i="41"/>
  <c r="AB89" i="41"/>
  <c r="AF43" i="41"/>
  <c r="AD43" i="41"/>
  <c r="AX89" i="41"/>
  <c r="AD89" i="41"/>
  <c r="N43" i="41"/>
  <c r="L43" i="41"/>
  <c r="AV89" i="41"/>
  <c r="AZ43" i="41"/>
  <c r="BB43" i="41"/>
  <c r="H43" i="41"/>
  <c r="BB89" i="41"/>
  <c r="AB43" i="41"/>
  <c r="AZ89" i="41"/>
  <c r="AH43" i="41"/>
  <c r="AI28" i="30"/>
  <c r="AI29" i="30"/>
  <c r="Q89" i="41"/>
  <c r="AK43" i="41"/>
  <c r="AU43" i="41" s="1"/>
  <c r="BE43" i="41" s="1"/>
  <c r="Q43" i="41"/>
  <c r="AK89" i="41"/>
  <c r="AU89" i="41" s="1"/>
  <c r="BE89" i="41" s="1"/>
  <c r="AA43" i="41"/>
  <c r="G43" i="41"/>
  <c r="AA89" i="41"/>
  <c r="J48" i="31"/>
  <c r="J47" i="31"/>
  <c r="J49" i="31"/>
  <c r="BI47" i="36"/>
  <c r="I49" i="36" s="1"/>
  <c r="BI46" i="36"/>
  <c r="H49" i="36" s="1"/>
  <c r="BI47" i="35"/>
  <c r="I49" i="35" s="1"/>
  <c r="BI46" i="35"/>
  <c r="BI91" i="33"/>
  <c r="BI94" i="33" s="1"/>
  <c r="J95" i="33" s="1"/>
  <c r="BI93" i="33"/>
  <c r="BI92" i="33"/>
  <c r="AY46" i="33"/>
  <c r="AY47" i="33"/>
  <c r="U45" i="31"/>
  <c r="U46" i="31"/>
  <c r="U47" i="31"/>
  <c r="K47" i="31"/>
  <c r="K46" i="31"/>
  <c r="G97" i="35"/>
  <c r="G98" i="35"/>
  <c r="G51" i="34"/>
  <c r="AE28" i="30" s="1"/>
  <c r="Q43" i="36"/>
  <c r="G43" i="36"/>
  <c r="AA43" i="36"/>
  <c r="AK43" i="36"/>
  <c r="AU43" i="36" s="1"/>
  <c r="BE43" i="36" s="1"/>
  <c r="BE42" i="36"/>
  <c r="Q42" i="36"/>
  <c r="AA42" i="36"/>
  <c r="AU42" i="36"/>
  <c r="AK42" i="36"/>
  <c r="G42" i="36"/>
  <c r="BI45" i="36"/>
  <c r="BI48" i="36" s="1"/>
  <c r="J49" i="36" s="1"/>
  <c r="G53" i="36" s="1"/>
  <c r="AF30" i="30" s="1"/>
  <c r="H49" i="35"/>
  <c r="BI45" i="35"/>
  <c r="AA88" i="35"/>
  <c r="AA42" i="35"/>
  <c r="AK42" i="35"/>
  <c r="BE88" i="35"/>
  <c r="Q88" i="35"/>
  <c r="BE42" i="35"/>
  <c r="Q42" i="35"/>
  <c r="AK88" i="35"/>
  <c r="AU88" i="35"/>
  <c r="G88" i="35"/>
  <c r="AU42" i="35"/>
  <c r="G42" i="35"/>
  <c r="AK43" i="35"/>
  <c r="AU43" i="35" s="1"/>
  <c r="BE43" i="35" s="1"/>
  <c r="AA43" i="35"/>
  <c r="AA89" i="35"/>
  <c r="Q43" i="35"/>
  <c r="AK89" i="35"/>
  <c r="AU89" i="35" s="1"/>
  <c r="BE89" i="35" s="1"/>
  <c r="Q89" i="35"/>
  <c r="G43" i="35"/>
  <c r="AA89" i="34"/>
  <c r="Q89" i="34"/>
  <c r="G89" i="34"/>
  <c r="AK89" i="34"/>
  <c r="G88" i="34"/>
  <c r="AK88" i="34"/>
  <c r="AA88" i="34"/>
  <c r="Q88" i="34"/>
  <c r="AA89" i="33"/>
  <c r="Q89" i="33"/>
  <c r="AU88" i="33"/>
  <c r="AK88" i="33"/>
  <c r="Q88" i="33"/>
  <c r="AA88" i="33"/>
  <c r="G88" i="33"/>
  <c r="BE88" i="33"/>
  <c r="AK89" i="33"/>
  <c r="AU89" i="33" s="1"/>
  <c r="BE89" i="33" s="1"/>
  <c r="AA42" i="34"/>
  <c r="AK42" i="34"/>
  <c r="Q42" i="34"/>
  <c r="G42" i="34"/>
  <c r="AK43" i="34"/>
  <c r="G43" i="34"/>
  <c r="AA43" i="34"/>
  <c r="Q43" i="34"/>
  <c r="BE42" i="33"/>
  <c r="AU42" i="33"/>
  <c r="AY45" i="33"/>
  <c r="AY48" i="33" s="1"/>
  <c r="BE44" i="33"/>
  <c r="BE42" i="31"/>
  <c r="AU42" i="31"/>
  <c r="AK42" i="33"/>
  <c r="AA42" i="33"/>
  <c r="Q42" i="33"/>
  <c r="G42" i="33"/>
  <c r="Q43" i="31"/>
  <c r="AA43" i="33"/>
  <c r="G43" i="33"/>
  <c r="AK43" i="33"/>
  <c r="AU43" i="33" s="1"/>
  <c r="BE43" i="33" s="1"/>
  <c r="Q43" i="33"/>
  <c r="AO45" i="31"/>
  <c r="AA42" i="31"/>
  <c r="AK42" i="31"/>
  <c r="G43" i="31"/>
  <c r="AK43" i="31"/>
  <c r="AU43" i="31" s="1"/>
  <c r="BE43" i="31" s="1"/>
  <c r="AA43" i="31"/>
  <c r="K45" i="31"/>
  <c r="Q42" i="31"/>
  <c r="G42" i="31"/>
  <c r="G53" i="31" l="1"/>
  <c r="AC30" i="30" s="1"/>
  <c r="S40" i="30" s="1"/>
  <c r="AG36" i="30"/>
  <c r="AH36" i="30"/>
  <c r="AG35" i="30"/>
  <c r="AH35" i="30"/>
  <c r="AC42" i="36"/>
  <c r="AB42" i="36"/>
  <c r="BI88" i="35"/>
  <c r="BH88" i="35"/>
  <c r="BJ88" i="35"/>
  <c r="BG88" i="35"/>
  <c r="BF88" i="35"/>
  <c r="BM88" i="35"/>
  <c r="BL88" i="35"/>
  <c r="BK88" i="35"/>
  <c r="T42" i="36"/>
  <c r="S42" i="36"/>
  <c r="W42" i="36"/>
  <c r="U42" i="36"/>
  <c r="R42" i="36"/>
  <c r="X42" i="36"/>
  <c r="V42" i="36"/>
  <c r="AD88" i="34"/>
  <c r="AB88" i="34"/>
  <c r="AC88" i="34"/>
  <c r="AI88" i="34"/>
  <c r="AH88" i="34"/>
  <c r="AG88" i="34"/>
  <c r="AF88" i="34"/>
  <c r="AE88" i="34"/>
  <c r="AN88" i="34"/>
  <c r="AM88" i="34"/>
  <c r="AL88" i="34"/>
  <c r="AS88" i="34"/>
  <c r="AO88" i="34"/>
  <c r="AR88" i="34"/>
  <c r="AQ88" i="34"/>
  <c r="AP88" i="34"/>
  <c r="T88" i="34"/>
  <c r="R88" i="34"/>
  <c r="S88" i="34"/>
  <c r="Y88" i="34"/>
  <c r="X88" i="34"/>
  <c r="W88" i="34"/>
  <c r="V88" i="34"/>
  <c r="U88" i="34"/>
  <c r="BI47" i="33"/>
  <c r="BI46" i="33"/>
  <c r="AW88" i="33"/>
  <c r="AV102" i="41" s="1"/>
  <c r="AY105" i="41" s="1"/>
  <c r="AW42" i="33"/>
  <c r="AV114" i="41" s="1"/>
  <c r="AY117" i="41" s="1"/>
  <c r="M117" i="41" s="1"/>
  <c r="AY42" i="33"/>
  <c r="AX114" i="41" s="1"/>
  <c r="AX42" i="33"/>
  <c r="AV88" i="33"/>
  <c r="AV42" i="33"/>
  <c r="BB42" i="33"/>
  <c r="BA42" i="33"/>
  <c r="AZ114" i="41" s="1"/>
  <c r="AY88" i="33"/>
  <c r="AX102" i="41" s="1"/>
  <c r="BC88" i="33"/>
  <c r="BC42" i="33"/>
  <c r="BB88" i="33"/>
  <c r="BA88" i="33"/>
  <c r="AZ102" i="41" s="1"/>
  <c r="AZ42" i="33"/>
  <c r="AX88" i="33"/>
  <c r="AZ88" i="33"/>
  <c r="AM88" i="33"/>
  <c r="AL88" i="33"/>
  <c r="AS88" i="33"/>
  <c r="AR89" i="41" s="1"/>
  <c r="AR88" i="33"/>
  <c r="AO88" i="33"/>
  <c r="AN88" i="33"/>
  <c r="AQ88" i="33"/>
  <c r="AP88" i="33"/>
  <c r="AC42" i="33"/>
  <c r="AB114" i="41" s="1"/>
  <c r="AG42" i="33"/>
  <c r="AF114" i="41" s="1"/>
  <c r="AB42" i="33"/>
  <c r="AF42" i="33"/>
  <c r="AE42" i="33"/>
  <c r="AD114" i="41" s="1"/>
  <c r="AD42" i="33"/>
  <c r="AI42" i="33"/>
  <c r="AH42" i="33"/>
  <c r="S42" i="33"/>
  <c r="R42" i="33"/>
  <c r="Y42" i="33"/>
  <c r="X43" i="41" s="1"/>
  <c r="X42" i="33"/>
  <c r="T42" i="33"/>
  <c r="W42" i="33"/>
  <c r="V42" i="33"/>
  <c r="U42" i="33"/>
  <c r="T43" i="41" s="1"/>
  <c r="T114" i="41" s="1"/>
  <c r="AM42" i="33"/>
  <c r="AL43" i="41" s="1"/>
  <c r="AL114" i="41" s="1"/>
  <c r="AL42" i="33"/>
  <c r="AS42" i="33"/>
  <c r="AR43" i="41" s="1"/>
  <c r="AR42" i="33"/>
  <c r="AQ42" i="33"/>
  <c r="AP42" i="33"/>
  <c r="AO42" i="33"/>
  <c r="AN42" i="33"/>
  <c r="BG88" i="33"/>
  <c r="BH88" i="33"/>
  <c r="BF88" i="33"/>
  <c r="BM88" i="33"/>
  <c r="BL88" i="33"/>
  <c r="BK88" i="33"/>
  <c r="BI88" i="33"/>
  <c r="BH89" i="41" s="1"/>
  <c r="BH102" i="41" s="1"/>
  <c r="BJ88" i="33"/>
  <c r="I88" i="33"/>
  <c r="H102" i="41" s="1"/>
  <c r="M88" i="33"/>
  <c r="L102" i="41" s="1"/>
  <c r="L88" i="33"/>
  <c r="H88" i="33"/>
  <c r="O88" i="33"/>
  <c r="N88" i="33"/>
  <c r="J88" i="33"/>
  <c r="K88" i="33"/>
  <c r="J102" i="41" s="1"/>
  <c r="AC88" i="33"/>
  <c r="AB102" i="41" s="1"/>
  <c r="AE105" i="41" s="1"/>
  <c r="L105" i="41" s="1"/>
  <c r="AB88" i="33"/>
  <c r="AD88" i="33"/>
  <c r="AI88" i="33"/>
  <c r="AH88" i="33"/>
  <c r="AE88" i="33"/>
  <c r="AD102" i="41" s="1"/>
  <c r="AG88" i="33"/>
  <c r="AF102" i="41" s="1"/>
  <c r="AF88" i="33"/>
  <c r="I42" i="33"/>
  <c r="H114" i="41" s="1"/>
  <c r="K42" i="33"/>
  <c r="J114" i="41" s="1"/>
  <c r="H42" i="33"/>
  <c r="O42" i="33"/>
  <c r="N42" i="33"/>
  <c r="M42" i="33"/>
  <c r="L114" i="41" s="1"/>
  <c r="L42" i="33"/>
  <c r="J42" i="33"/>
  <c r="BG42" i="33"/>
  <c r="BF42" i="33"/>
  <c r="BM42" i="33"/>
  <c r="BL42" i="33"/>
  <c r="BJ42" i="33"/>
  <c r="BI42" i="33"/>
  <c r="BH42" i="33"/>
  <c r="BK42" i="33"/>
  <c r="BJ43" i="41" s="1"/>
  <c r="BJ114" i="41" s="1"/>
  <c r="S88" i="33"/>
  <c r="R102" i="41" s="1"/>
  <c r="R88" i="33"/>
  <c r="U88" i="33"/>
  <c r="Y88" i="33"/>
  <c r="X88" i="33"/>
  <c r="T88" i="33"/>
  <c r="W88" i="33"/>
  <c r="V88" i="33"/>
  <c r="AV42" i="31"/>
  <c r="AX42" i="31"/>
  <c r="AW42" i="31"/>
  <c r="BA42" i="31"/>
  <c r="AZ42" i="31"/>
  <c r="BC42" i="31"/>
  <c r="BB42" i="31"/>
  <c r="AY42" i="31"/>
  <c r="BJ42" i="31"/>
  <c r="BI42" i="31"/>
  <c r="BH42" i="31"/>
  <c r="BG42" i="31"/>
  <c r="BF42" i="31"/>
  <c r="BM42" i="31"/>
  <c r="BL42" i="31"/>
  <c r="BK42" i="31"/>
  <c r="N42" i="31"/>
  <c r="J42" i="31"/>
  <c r="H42" i="31"/>
  <c r="O42" i="31"/>
  <c r="M42" i="31"/>
  <c r="L42" i="31"/>
  <c r="K42" i="31"/>
  <c r="I42" i="31"/>
  <c r="AH42" i="31"/>
  <c r="AD42" i="31"/>
  <c r="AC42" i="31"/>
  <c r="AB42" i="31"/>
  <c r="AI42" i="31"/>
  <c r="AG42" i="31"/>
  <c r="AF42" i="31"/>
  <c r="AE42" i="31"/>
  <c r="X42" i="31"/>
  <c r="V42" i="31"/>
  <c r="R42" i="31"/>
  <c r="T42" i="31"/>
  <c r="Y42" i="31"/>
  <c r="W42" i="31"/>
  <c r="S42" i="31"/>
  <c r="U42" i="31"/>
  <c r="AS42" i="31"/>
  <c r="AQ42" i="31"/>
  <c r="AP42" i="31"/>
  <c r="AM42" i="31"/>
  <c r="AR42" i="31"/>
  <c r="AN42" i="31"/>
  <c r="AL42" i="31"/>
  <c r="AO42" i="31"/>
  <c r="G52" i="36"/>
  <c r="AF29" i="30" s="1"/>
  <c r="G51" i="36"/>
  <c r="AF28" i="30" s="1"/>
  <c r="G52" i="35"/>
  <c r="G51" i="35"/>
  <c r="BB42" i="36"/>
  <c r="AW42" i="36"/>
  <c r="AV42" i="36"/>
  <c r="AY42" i="36"/>
  <c r="AZ42" i="36"/>
  <c r="BC42" i="36"/>
  <c r="BA42" i="36"/>
  <c r="AX42" i="36"/>
  <c r="AI42" i="36"/>
  <c r="AD42" i="36"/>
  <c r="AH42" i="36"/>
  <c r="AE42" i="36"/>
  <c r="AG42" i="36"/>
  <c r="AF42" i="36"/>
  <c r="O42" i="36"/>
  <c r="M42" i="36"/>
  <c r="L42" i="36"/>
  <c r="K42" i="36"/>
  <c r="J42" i="36"/>
  <c r="I42" i="36"/>
  <c r="H42" i="36"/>
  <c r="N42" i="36"/>
  <c r="Y42" i="36"/>
  <c r="AL42" i="36"/>
  <c r="AM42" i="36"/>
  <c r="AQ42" i="36"/>
  <c r="AR42" i="36"/>
  <c r="AS42" i="36"/>
  <c r="AP42" i="36"/>
  <c r="AN42" i="36"/>
  <c r="AO42" i="36"/>
  <c r="BL42" i="36"/>
  <c r="BK42" i="36"/>
  <c r="BG42" i="36"/>
  <c r="BH42" i="36"/>
  <c r="BM42" i="36"/>
  <c r="BF42" i="36"/>
  <c r="BI42" i="36"/>
  <c r="BJ42" i="36"/>
  <c r="AY88" i="35"/>
  <c r="AX88" i="35"/>
  <c r="AW88" i="35"/>
  <c r="AV88" i="35"/>
  <c r="BC88" i="35"/>
  <c r="BB88" i="35"/>
  <c r="BA88" i="35"/>
  <c r="AZ88" i="35"/>
  <c r="H47" i="31"/>
  <c r="G51" i="31" s="1"/>
  <c r="I47" i="31"/>
  <c r="G52" i="31" s="1"/>
  <c r="AM88" i="35"/>
  <c r="AQ88" i="35"/>
  <c r="AN88" i="35"/>
  <c r="AR88" i="35"/>
  <c r="AS88" i="35"/>
  <c r="AO88" i="35"/>
  <c r="AL88" i="35"/>
  <c r="AP88" i="35"/>
  <c r="T42" i="35"/>
  <c r="R42" i="35"/>
  <c r="W42" i="35"/>
  <c r="X42" i="35"/>
  <c r="S42" i="35"/>
  <c r="Y42" i="35"/>
  <c r="U42" i="35"/>
  <c r="V42" i="35"/>
  <c r="BL42" i="35"/>
  <c r="BF42" i="35"/>
  <c r="BM42" i="35"/>
  <c r="BJ42" i="35"/>
  <c r="BH42" i="35"/>
  <c r="BI42" i="35"/>
  <c r="BK42" i="35"/>
  <c r="BG42" i="35"/>
  <c r="T88" i="35"/>
  <c r="Y88" i="35"/>
  <c r="R88" i="35"/>
  <c r="X88" i="35"/>
  <c r="S88" i="35"/>
  <c r="V88" i="35"/>
  <c r="W88" i="35"/>
  <c r="U88" i="35"/>
  <c r="K42" i="35"/>
  <c r="L42" i="35"/>
  <c r="M42" i="35"/>
  <c r="N42" i="35"/>
  <c r="O42" i="35"/>
  <c r="H42" i="35"/>
  <c r="I42" i="35"/>
  <c r="J42" i="35"/>
  <c r="BC42" i="35"/>
  <c r="AV42" i="35"/>
  <c r="BA42" i="35"/>
  <c r="AX42" i="35"/>
  <c r="AW42" i="35"/>
  <c r="AY42" i="35"/>
  <c r="BB42" i="35"/>
  <c r="AZ42" i="35"/>
  <c r="AN42" i="35"/>
  <c r="AQ42" i="35"/>
  <c r="AP42" i="35"/>
  <c r="AO42" i="35"/>
  <c r="AR42" i="35"/>
  <c r="AS42" i="35"/>
  <c r="AM42" i="35"/>
  <c r="AL42" i="35"/>
  <c r="M88" i="35"/>
  <c r="I88" i="35"/>
  <c r="O88" i="35"/>
  <c r="L88" i="35"/>
  <c r="J88" i="35"/>
  <c r="H88" i="35"/>
  <c r="N88" i="35"/>
  <c r="K88" i="35"/>
  <c r="AI42" i="35"/>
  <c r="AD42" i="35"/>
  <c r="AH42" i="35"/>
  <c r="AB42" i="35"/>
  <c r="AF42" i="35"/>
  <c r="AG42" i="35"/>
  <c r="AC42" i="35"/>
  <c r="AE42" i="35"/>
  <c r="AD88" i="35"/>
  <c r="AE88" i="35"/>
  <c r="AH88" i="35"/>
  <c r="AC88" i="35"/>
  <c r="AF88" i="35"/>
  <c r="AG88" i="35"/>
  <c r="AB88" i="35"/>
  <c r="AI88" i="35"/>
  <c r="J88" i="34"/>
  <c r="M88" i="34"/>
  <c r="O88" i="34"/>
  <c r="I88" i="34"/>
  <c r="N88" i="34"/>
  <c r="L88" i="34"/>
  <c r="K88" i="34"/>
  <c r="I95" i="33"/>
  <c r="H95" i="33"/>
  <c r="H88" i="34"/>
  <c r="AN42" i="34"/>
  <c r="AR42" i="34"/>
  <c r="AS42" i="34"/>
  <c r="AO42" i="34"/>
  <c r="AL42" i="34"/>
  <c r="AP42" i="34"/>
  <c r="AQ42" i="34"/>
  <c r="AM42" i="34"/>
  <c r="AC42" i="34"/>
  <c r="AF42" i="34"/>
  <c r="AG42" i="34"/>
  <c r="AH42" i="34"/>
  <c r="AI42" i="34"/>
  <c r="AE42" i="34"/>
  <c r="AB42" i="34"/>
  <c r="AD42" i="34"/>
  <c r="O42" i="34"/>
  <c r="N42" i="34"/>
  <c r="I42" i="34"/>
  <c r="J42" i="34"/>
  <c r="H42" i="34"/>
  <c r="L42" i="34"/>
  <c r="K42" i="34"/>
  <c r="M42" i="34"/>
  <c r="V42" i="34"/>
  <c r="U42" i="34"/>
  <c r="T42" i="34"/>
  <c r="X42" i="34"/>
  <c r="Y42" i="34"/>
  <c r="W42" i="34"/>
  <c r="S42" i="34"/>
  <c r="R42" i="34"/>
  <c r="BI45" i="33"/>
  <c r="BI48" i="33" s="1"/>
  <c r="J49" i="33" s="1"/>
  <c r="BF89" i="41" l="1"/>
  <c r="BF102" i="41" s="1"/>
  <c r="BI105" i="41" s="1"/>
  <c r="X89" i="41"/>
  <c r="X102" i="41" s="1"/>
  <c r="R43" i="41"/>
  <c r="R114" i="41" s="1"/>
  <c r="AL89" i="41"/>
  <c r="AL102" i="41" s="1"/>
  <c r="AN89" i="41"/>
  <c r="AN102" i="41" s="1"/>
  <c r="BL43" i="41"/>
  <c r="BL114" i="41" s="1"/>
  <c r="V89" i="41"/>
  <c r="V102" i="41" s="1"/>
  <c r="AP89" i="41"/>
  <c r="AP102" i="41" s="1"/>
  <c r="BJ89" i="41"/>
  <c r="BJ102" i="41" s="1"/>
  <c r="V43" i="41"/>
  <c r="V114" i="41" s="1"/>
  <c r="AP43" i="41"/>
  <c r="AP114" i="41" s="1"/>
  <c r="BF43" i="41"/>
  <c r="BF114" i="41" s="1"/>
  <c r="AN43" i="41"/>
  <c r="AN114" i="41" s="1"/>
  <c r="BH43" i="41"/>
  <c r="BH114" i="41" s="1"/>
  <c r="BL89" i="41"/>
  <c r="BL102" i="41" s="1"/>
  <c r="T89" i="41"/>
  <c r="T102" i="41" s="1"/>
  <c r="AE44" i="41"/>
  <c r="G48" i="41" s="1"/>
  <c r="AH114" i="41"/>
  <c r="AE117" i="41" s="1"/>
  <c r="L117" i="41" s="1"/>
  <c r="N102" i="41"/>
  <c r="K90" i="41"/>
  <c r="G93" i="41" s="1"/>
  <c r="N114" i="41"/>
  <c r="K117" i="41" s="1"/>
  <c r="K44" i="41"/>
  <c r="G47" i="41" s="1"/>
  <c r="AH102" i="41"/>
  <c r="AE90" i="41"/>
  <c r="G94" i="41" s="1"/>
  <c r="AR114" i="41"/>
  <c r="X114" i="41"/>
  <c r="AR102" i="41"/>
  <c r="BB114" i="41"/>
  <c r="AY44" i="41"/>
  <c r="G49" i="41" s="1"/>
  <c r="BB102" i="41"/>
  <c r="AY90" i="41"/>
  <c r="G95" i="41" s="1"/>
  <c r="M119" i="41"/>
  <c r="M121" i="41"/>
  <c r="M120" i="41"/>
  <c r="L107" i="41"/>
  <c r="L108" i="41"/>
  <c r="L109" i="41"/>
  <c r="K105" i="41"/>
  <c r="W105" i="41"/>
  <c r="M105" i="41"/>
  <c r="AG28" i="30"/>
  <c r="AH28" i="30"/>
  <c r="AG29" i="30"/>
  <c r="AH29" i="30"/>
  <c r="AX89" i="35"/>
  <c r="G97" i="33"/>
  <c r="AD35" i="30" s="1"/>
  <c r="G98" i="33"/>
  <c r="AD36" i="30" s="1"/>
  <c r="V43" i="36"/>
  <c r="V63" i="36" s="1"/>
  <c r="T43" i="36"/>
  <c r="BL43" i="36"/>
  <c r="BL63" i="36" s="1"/>
  <c r="AZ43" i="36"/>
  <c r="AZ63" i="36" s="1"/>
  <c r="BJ43" i="36"/>
  <c r="BJ63" i="36" s="1"/>
  <c r="N43" i="36"/>
  <c r="N63" i="36" s="1"/>
  <c r="BH43" i="36"/>
  <c r="AF43" i="36"/>
  <c r="AF63" i="36" s="1"/>
  <c r="X43" i="36"/>
  <c r="X63" i="36" s="1"/>
  <c r="AD43" i="36"/>
  <c r="AR43" i="36"/>
  <c r="AR63" i="36" s="1"/>
  <c r="R43" i="36"/>
  <c r="R63" i="36" s="1"/>
  <c r="BH89" i="35"/>
  <c r="AL43" i="36"/>
  <c r="AL63" i="36" s="1"/>
  <c r="AP89" i="35"/>
  <c r="AP102" i="35" s="1"/>
  <c r="V89" i="34"/>
  <c r="V102" i="34" s="1"/>
  <c r="AF89" i="35"/>
  <c r="AF102" i="35" s="1"/>
  <c r="R89" i="35"/>
  <c r="R102" i="35" s="1"/>
  <c r="H43" i="36"/>
  <c r="H63" i="36" s="1"/>
  <c r="AV43" i="36"/>
  <c r="AV63" i="36" s="1"/>
  <c r="J43" i="36"/>
  <c r="AD43" i="35"/>
  <c r="AL89" i="35"/>
  <c r="AL102" i="35" s="1"/>
  <c r="BF43" i="36"/>
  <c r="BF63" i="36" s="1"/>
  <c r="BI66" i="36" s="1"/>
  <c r="W66" i="36" s="1"/>
  <c r="W70" i="36" s="1"/>
  <c r="AP43" i="36"/>
  <c r="AP63" i="36" s="1"/>
  <c r="AB43" i="36"/>
  <c r="AB63" i="36" s="1"/>
  <c r="BB43" i="36"/>
  <c r="BB63" i="36" s="1"/>
  <c r="AB43" i="35"/>
  <c r="AB114" i="35" s="1"/>
  <c r="L43" i="36"/>
  <c r="L63" i="36" s="1"/>
  <c r="AF43" i="35"/>
  <c r="AF114" i="35" s="1"/>
  <c r="AR43" i="35"/>
  <c r="AR114" i="35" s="1"/>
  <c r="AH43" i="36"/>
  <c r="AH63" i="36" s="1"/>
  <c r="AX43" i="36"/>
  <c r="BH43" i="35"/>
  <c r="AN89" i="35"/>
  <c r="AN43" i="36"/>
  <c r="L89" i="34"/>
  <c r="L102" i="34" s="1"/>
  <c r="BB89" i="35"/>
  <c r="BB102" i="35" s="1"/>
  <c r="AV89" i="35"/>
  <c r="AV102" i="35" s="1"/>
  <c r="AV43" i="35"/>
  <c r="AV114" i="35" s="1"/>
  <c r="BJ89" i="35"/>
  <c r="BJ102" i="35" s="1"/>
  <c r="AL43" i="35"/>
  <c r="AL114" i="35" s="1"/>
  <c r="J43" i="35"/>
  <c r="AD89" i="35"/>
  <c r="AP43" i="35"/>
  <c r="AP114" i="35" s="1"/>
  <c r="N43" i="35"/>
  <c r="N114" i="35" s="1"/>
  <c r="AR89" i="35"/>
  <c r="AR102" i="35" s="1"/>
  <c r="AZ89" i="35"/>
  <c r="AZ102" i="35" s="1"/>
  <c r="AH89" i="35"/>
  <c r="AH102" i="35" s="1"/>
  <c r="AZ43" i="35"/>
  <c r="AZ114" i="35" s="1"/>
  <c r="BL89" i="35"/>
  <c r="BL102" i="35" s="1"/>
  <c r="L43" i="35"/>
  <c r="L114" i="35" s="1"/>
  <c r="BL43" i="35"/>
  <c r="BL114" i="35" s="1"/>
  <c r="X89" i="35"/>
  <c r="X102" i="35" s="1"/>
  <c r="BB43" i="35"/>
  <c r="BB114" i="35" s="1"/>
  <c r="BF89" i="35"/>
  <c r="BF102" i="35" s="1"/>
  <c r="T89" i="35"/>
  <c r="T102" i="35" s="1"/>
  <c r="BF43" i="35"/>
  <c r="BF114" i="35" s="1"/>
  <c r="AH43" i="35"/>
  <c r="AH114" i="35" s="1"/>
  <c r="AB89" i="35"/>
  <c r="AB102" i="35" s="1"/>
  <c r="AN43" i="35"/>
  <c r="AX43" i="35"/>
  <c r="H43" i="35"/>
  <c r="H114" i="35" s="1"/>
  <c r="V89" i="35"/>
  <c r="V102" i="35" s="1"/>
  <c r="BJ43" i="35"/>
  <c r="BJ114" i="35" s="1"/>
  <c r="H89" i="34"/>
  <c r="H102" i="34" s="1"/>
  <c r="AV43" i="31"/>
  <c r="AV55" i="31" s="1"/>
  <c r="BB43" i="33"/>
  <c r="BB114" i="33" s="1"/>
  <c r="AZ43" i="31"/>
  <c r="AZ55" i="31" s="1"/>
  <c r="L89" i="33"/>
  <c r="L102" i="33" s="1"/>
  <c r="BH89" i="33"/>
  <c r="AH89" i="33"/>
  <c r="AH102" i="33" s="1"/>
  <c r="BB89" i="33"/>
  <c r="BB102" i="33" s="1"/>
  <c r="T89" i="33"/>
  <c r="AD89" i="34"/>
  <c r="AD89" i="33"/>
  <c r="R89" i="34"/>
  <c r="R102" i="34" s="1"/>
  <c r="X89" i="34"/>
  <c r="X102" i="34" s="1"/>
  <c r="AN89" i="34"/>
  <c r="L43" i="34"/>
  <c r="L114" i="34" s="1"/>
  <c r="AL89" i="33"/>
  <c r="AL102" i="33" s="1"/>
  <c r="H43" i="34"/>
  <c r="H114" i="34" s="1"/>
  <c r="AX89" i="33"/>
  <c r="AP89" i="33"/>
  <c r="AP102" i="33" s="1"/>
  <c r="V89" i="33"/>
  <c r="V102" i="33" s="1"/>
  <c r="AZ89" i="33"/>
  <c r="AZ102" i="33" s="1"/>
  <c r="AB89" i="33"/>
  <c r="AB102" i="33" s="1"/>
  <c r="J89" i="33"/>
  <c r="H49" i="33"/>
  <c r="I49" i="33"/>
  <c r="AR43" i="34"/>
  <c r="AR114" i="34" s="1"/>
  <c r="N89" i="33"/>
  <c r="AB43" i="34"/>
  <c r="AB114" i="34" s="1"/>
  <c r="AN89" i="33"/>
  <c r="AV89" i="33"/>
  <c r="AV102" i="33" s="1"/>
  <c r="AH89" i="34"/>
  <c r="AH102" i="34" s="1"/>
  <c r="AB89" i="34"/>
  <c r="AB102" i="34" s="1"/>
  <c r="T43" i="34"/>
  <c r="N43" i="34"/>
  <c r="N114" i="34" s="1"/>
  <c r="AR89" i="33"/>
  <c r="AR102" i="33" s="1"/>
  <c r="X89" i="33"/>
  <c r="X102" i="33" s="1"/>
  <c r="AL43" i="34"/>
  <c r="AL114" i="34" s="1"/>
  <c r="BF89" i="33"/>
  <c r="BF102" i="33" s="1"/>
  <c r="AL89" i="34"/>
  <c r="AL102" i="34" s="1"/>
  <c r="J89" i="34"/>
  <c r="H89" i="33"/>
  <c r="H102" i="33" s="1"/>
  <c r="T89" i="34"/>
  <c r="J43" i="34"/>
  <c r="R89" i="33"/>
  <c r="R102" i="33" s="1"/>
  <c r="N89" i="34"/>
  <c r="N102" i="34" s="1"/>
  <c r="AF43" i="34"/>
  <c r="AF114" i="34" s="1"/>
  <c r="BJ89" i="33"/>
  <c r="BJ102" i="33" s="1"/>
  <c r="AP89" i="34"/>
  <c r="AP102" i="34" s="1"/>
  <c r="AH43" i="34"/>
  <c r="AH114" i="34" s="1"/>
  <c r="BB43" i="31"/>
  <c r="BB55" i="31" s="1"/>
  <c r="AN43" i="34"/>
  <c r="AF89" i="33"/>
  <c r="AF102" i="33" s="1"/>
  <c r="X43" i="34"/>
  <c r="X114" i="34" s="1"/>
  <c r="AF89" i="34"/>
  <c r="AF102" i="34" s="1"/>
  <c r="V43" i="34"/>
  <c r="V114" i="34" s="1"/>
  <c r="AP43" i="34"/>
  <c r="AP114" i="34" s="1"/>
  <c r="H43" i="31"/>
  <c r="H55" i="31" s="1"/>
  <c r="R43" i="34"/>
  <c r="R114" i="34" s="1"/>
  <c r="AD43" i="34"/>
  <c r="BL89" i="33"/>
  <c r="BL102" i="33" s="1"/>
  <c r="AR89" i="34"/>
  <c r="AR102" i="34" s="1"/>
  <c r="BF43" i="31"/>
  <c r="V43" i="33"/>
  <c r="V114" i="33" s="1"/>
  <c r="BJ43" i="31"/>
  <c r="BJ55" i="31" s="1"/>
  <c r="BH43" i="31"/>
  <c r="BL43" i="31"/>
  <c r="BL55" i="31" s="1"/>
  <c r="L43" i="33"/>
  <c r="L114" i="33" s="1"/>
  <c r="AZ43" i="33"/>
  <c r="AZ114" i="33" s="1"/>
  <c r="AX43" i="33"/>
  <c r="BJ43" i="33"/>
  <c r="BJ114" i="33" s="1"/>
  <c r="BF43" i="33"/>
  <c r="BF114" i="33" s="1"/>
  <c r="BH43" i="33"/>
  <c r="BL43" i="33"/>
  <c r="BL114" i="33" s="1"/>
  <c r="AX43" i="31"/>
  <c r="AV43" i="33"/>
  <c r="AV114" i="33" s="1"/>
  <c r="AH43" i="31"/>
  <c r="AH55" i="31" s="1"/>
  <c r="AB43" i="31"/>
  <c r="AB55" i="31" s="1"/>
  <c r="AH43" i="33"/>
  <c r="AH114" i="33" s="1"/>
  <c r="AR43" i="33"/>
  <c r="AR114" i="33" s="1"/>
  <c r="AF43" i="33"/>
  <c r="AF114" i="33" s="1"/>
  <c r="T43" i="33"/>
  <c r="R43" i="33"/>
  <c r="R114" i="33" s="1"/>
  <c r="AL43" i="33"/>
  <c r="AL114" i="33" s="1"/>
  <c r="H43" i="33"/>
  <c r="H114" i="33" s="1"/>
  <c r="J43" i="33"/>
  <c r="AB43" i="33"/>
  <c r="AB114" i="33" s="1"/>
  <c r="N43" i="33"/>
  <c r="N114" i="33" s="1"/>
  <c r="X43" i="33"/>
  <c r="X114" i="33" s="1"/>
  <c r="AN43" i="33"/>
  <c r="AP43" i="33"/>
  <c r="AP114" i="33" s="1"/>
  <c r="AC28" i="30"/>
  <c r="AC29" i="30"/>
  <c r="AR43" i="31"/>
  <c r="AR55" i="31" s="1"/>
  <c r="AP43" i="31"/>
  <c r="AP55" i="31" s="1"/>
  <c r="L43" i="31"/>
  <c r="L55" i="31" s="1"/>
  <c r="AL43" i="31"/>
  <c r="AL55" i="31" s="1"/>
  <c r="AF43" i="31"/>
  <c r="AF55" i="31" s="1"/>
  <c r="AN43" i="31"/>
  <c r="AD43" i="31"/>
  <c r="V43" i="31"/>
  <c r="V55" i="31" s="1"/>
  <c r="X43" i="31"/>
  <c r="X55" i="31" s="1"/>
  <c r="J43" i="31"/>
  <c r="T43" i="31"/>
  <c r="N43" i="31"/>
  <c r="N55" i="31" s="1"/>
  <c r="R43" i="31"/>
  <c r="R55" i="31" s="1"/>
  <c r="G50" i="41" l="1"/>
  <c r="G96" i="41"/>
  <c r="AO90" i="41"/>
  <c r="U44" i="41"/>
  <c r="BI90" i="41"/>
  <c r="AO105" i="41"/>
  <c r="V105" i="41" s="1"/>
  <c r="V109" i="41" s="1"/>
  <c r="AO117" i="41"/>
  <c r="V117" i="41" s="1"/>
  <c r="V121" i="41" s="1"/>
  <c r="U117" i="41"/>
  <c r="U120" i="41" s="1"/>
  <c r="BI117" i="41"/>
  <c r="W117" i="41" s="1"/>
  <c r="U90" i="41"/>
  <c r="AO44" i="41"/>
  <c r="BI44" i="41"/>
  <c r="U105" i="41"/>
  <c r="U107" i="41" s="1"/>
  <c r="L119" i="41"/>
  <c r="L120" i="41"/>
  <c r="L121" i="41"/>
  <c r="W109" i="41"/>
  <c r="W108" i="41"/>
  <c r="W107" i="41"/>
  <c r="J118" i="41"/>
  <c r="AI42" i="30" s="1"/>
  <c r="AI43" i="30" s="1"/>
  <c r="K121" i="41"/>
  <c r="V107" i="41"/>
  <c r="K109" i="41"/>
  <c r="J109" i="41" s="1"/>
  <c r="AI52" i="30" s="1"/>
  <c r="J106" i="41"/>
  <c r="AI48" i="30" s="1"/>
  <c r="AI49" i="30" s="1"/>
  <c r="M108" i="41"/>
  <c r="M109" i="41"/>
  <c r="M107" i="41"/>
  <c r="W69" i="36"/>
  <c r="W68" i="36"/>
  <c r="AD102" i="35"/>
  <c r="AE90" i="35"/>
  <c r="AN102" i="35"/>
  <c r="AO90" i="35"/>
  <c r="J114" i="35"/>
  <c r="K117" i="35" s="1"/>
  <c r="K121" i="35" s="1"/>
  <c r="K44" i="35"/>
  <c r="G47" i="35" s="1"/>
  <c r="BH114" i="35"/>
  <c r="BI44" i="35"/>
  <c r="AD63" i="36"/>
  <c r="AE66" i="36" s="1"/>
  <c r="L66" i="36" s="1"/>
  <c r="L70" i="36" s="1"/>
  <c r="AE44" i="36"/>
  <c r="T63" i="36"/>
  <c r="U66" i="36" s="1"/>
  <c r="U70" i="36" s="1"/>
  <c r="U44" i="36"/>
  <c r="AX63" i="36"/>
  <c r="AY44" i="36"/>
  <c r="BH63" i="36"/>
  <c r="BI44" i="36"/>
  <c r="AN114" i="35"/>
  <c r="AO117" i="35" s="1"/>
  <c r="V117" i="35" s="1"/>
  <c r="V121" i="35" s="1"/>
  <c r="AO44" i="35"/>
  <c r="AD114" i="35"/>
  <c r="AE117" i="35" s="1"/>
  <c r="AE44" i="35"/>
  <c r="AX114" i="35"/>
  <c r="AY44" i="35"/>
  <c r="J63" i="36"/>
  <c r="K66" i="36" s="1"/>
  <c r="K70" i="36" s="1"/>
  <c r="K44" i="36"/>
  <c r="BH102" i="35"/>
  <c r="BI90" i="35"/>
  <c r="AN63" i="36"/>
  <c r="AO66" i="36" s="1"/>
  <c r="V66" i="36" s="1"/>
  <c r="V70" i="36" s="1"/>
  <c r="AO44" i="36"/>
  <c r="AX102" i="35"/>
  <c r="AY90" i="35"/>
  <c r="AD102" i="34"/>
  <c r="AE90" i="34"/>
  <c r="J102" i="34"/>
  <c r="K105" i="34" s="1"/>
  <c r="K90" i="34"/>
  <c r="T102" i="34"/>
  <c r="U105" i="34" s="1"/>
  <c r="U109" i="34" s="1"/>
  <c r="U90" i="34"/>
  <c r="AN102" i="34"/>
  <c r="AO105" i="34" s="1"/>
  <c r="V105" i="34" s="1"/>
  <c r="V109" i="34" s="1"/>
  <c r="AO90" i="34"/>
  <c r="AN114" i="34"/>
  <c r="AO117" i="34" s="1"/>
  <c r="V117" i="34" s="1"/>
  <c r="V121" i="34" s="1"/>
  <c r="AO44" i="34"/>
  <c r="J114" i="34"/>
  <c r="K117" i="34" s="1"/>
  <c r="K44" i="34"/>
  <c r="T114" i="34"/>
  <c r="U117" i="34" s="1"/>
  <c r="U121" i="34" s="1"/>
  <c r="U44" i="34"/>
  <c r="AD114" i="34"/>
  <c r="AE117" i="34" s="1"/>
  <c r="L117" i="34" s="1"/>
  <c r="AE44" i="34"/>
  <c r="AD102" i="33"/>
  <c r="AE90" i="33"/>
  <c r="AX102" i="33"/>
  <c r="AY90" i="33"/>
  <c r="AN114" i="33"/>
  <c r="AO117" i="33" s="1"/>
  <c r="V117" i="33" s="1"/>
  <c r="V121" i="33" s="1"/>
  <c r="AO44" i="33"/>
  <c r="T114" i="33"/>
  <c r="U117" i="33" s="1"/>
  <c r="U121" i="33" s="1"/>
  <c r="U44" i="33"/>
  <c r="T102" i="33"/>
  <c r="U105" i="33" s="1"/>
  <c r="U90" i="33"/>
  <c r="J102" i="33"/>
  <c r="K90" i="33"/>
  <c r="BH102" i="33"/>
  <c r="BI90" i="33"/>
  <c r="J114" i="33"/>
  <c r="K117" i="33" s="1"/>
  <c r="K44" i="33"/>
  <c r="AN102" i="33"/>
  <c r="AO105" i="33" s="1"/>
  <c r="V105" i="33" s="1"/>
  <c r="V109" i="33" s="1"/>
  <c r="AO90" i="33"/>
  <c r="AX114" i="33"/>
  <c r="AY44" i="33"/>
  <c r="BH114" i="33"/>
  <c r="BI117" i="33" s="1"/>
  <c r="W117" i="33" s="1"/>
  <c r="W121" i="33" s="1"/>
  <c r="BI44" i="33"/>
  <c r="AX55" i="31"/>
  <c r="AY44" i="31"/>
  <c r="AN55" i="31"/>
  <c r="AO58" i="31" s="1"/>
  <c r="V58" i="31" s="1"/>
  <c r="V62" i="31" s="1"/>
  <c r="AO44" i="31"/>
  <c r="BH55" i="31"/>
  <c r="BI58" i="31" s="1"/>
  <c r="W58" i="31" s="1"/>
  <c r="W62" i="31" s="1"/>
  <c r="BI44" i="31"/>
  <c r="T55" i="31"/>
  <c r="U58" i="31" s="1"/>
  <c r="U44" i="31"/>
  <c r="J55" i="31"/>
  <c r="K58" i="31" s="1"/>
  <c r="K44" i="31"/>
  <c r="AD55" i="31"/>
  <c r="AE58" i="31" s="1"/>
  <c r="L58" i="31" s="1"/>
  <c r="L62" i="31" s="1"/>
  <c r="AE44" i="31"/>
  <c r="N102" i="33"/>
  <c r="AE105" i="34"/>
  <c r="L105" i="34" s="1"/>
  <c r="L109" i="34" s="1"/>
  <c r="AO105" i="35"/>
  <c r="V105" i="35" s="1"/>
  <c r="V109" i="35" s="1"/>
  <c r="AY66" i="36"/>
  <c r="M66" i="36" s="1"/>
  <c r="M70" i="36" s="1"/>
  <c r="AY117" i="35"/>
  <c r="AE105" i="35"/>
  <c r="L105" i="35" s="1"/>
  <c r="L109" i="35" s="1"/>
  <c r="J109" i="35" s="1"/>
  <c r="BI117" i="35"/>
  <c r="W117" i="35" s="1"/>
  <c r="W121" i="35" s="1"/>
  <c r="BI105" i="35"/>
  <c r="W105" i="35" s="1"/>
  <c r="W109" i="35" s="1"/>
  <c r="AY105" i="35"/>
  <c r="M105" i="35" s="1"/>
  <c r="M109" i="35" s="1"/>
  <c r="U105" i="35"/>
  <c r="U109" i="35" s="1"/>
  <c r="AY117" i="33"/>
  <c r="M117" i="33" s="1"/>
  <c r="M121" i="33" s="1"/>
  <c r="AY58" i="31"/>
  <c r="M58" i="31" s="1"/>
  <c r="M62" i="31" s="1"/>
  <c r="BI105" i="33"/>
  <c r="AY105" i="33"/>
  <c r="AE105" i="33"/>
  <c r="L105" i="33" s="1"/>
  <c r="L109" i="33" s="1"/>
  <c r="G51" i="33"/>
  <c r="AD28" i="30" s="1"/>
  <c r="S38" i="30" s="1"/>
  <c r="G52" i="33"/>
  <c r="AD29" i="30" s="1"/>
  <c r="S39" i="30" s="1"/>
  <c r="U90" i="35"/>
  <c r="V108" i="41" l="1"/>
  <c r="V119" i="41"/>
  <c r="K121" i="34"/>
  <c r="J121" i="34" s="1"/>
  <c r="L121" i="34"/>
  <c r="L120" i="34"/>
  <c r="U121" i="41"/>
  <c r="T121" i="41" s="1"/>
  <c r="U119" i="41"/>
  <c r="T118" i="41"/>
  <c r="V120" i="41"/>
  <c r="T120" i="41" s="1"/>
  <c r="W120" i="41"/>
  <c r="W119" i="41"/>
  <c r="W121" i="41"/>
  <c r="J121" i="41"/>
  <c r="AI46" i="30" s="1"/>
  <c r="U108" i="41"/>
  <c r="T108" i="41" s="1"/>
  <c r="U109" i="41"/>
  <c r="T109" i="41" s="1"/>
  <c r="T106" i="41"/>
  <c r="T107" i="41"/>
  <c r="AH52" i="30"/>
  <c r="AG52" i="30"/>
  <c r="T70" i="36"/>
  <c r="T121" i="35"/>
  <c r="T109" i="35"/>
  <c r="K120" i="41"/>
  <c r="J120" i="41" s="1"/>
  <c r="AI45" i="30" s="1"/>
  <c r="K119" i="41"/>
  <c r="J119" i="41" s="1"/>
  <c r="AI44" i="30" s="1"/>
  <c r="K108" i="41"/>
  <c r="J108" i="41" s="1"/>
  <c r="AI51" i="30" s="1"/>
  <c r="K107" i="41"/>
  <c r="J107" i="41" s="1"/>
  <c r="AI50" i="30" s="1"/>
  <c r="T121" i="34"/>
  <c r="T109" i="34"/>
  <c r="J70" i="36"/>
  <c r="K109" i="34"/>
  <c r="J109" i="34" s="1"/>
  <c r="T121" i="33"/>
  <c r="K121" i="33"/>
  <c r="U109" i="33"/>
  <c r="T109" i="33" s="1"/>
  <c r="AD52" i="30" s="1"/>
  <c r="W105" i="33"/>
  <c r="M105" i="33"/>
  <c r="M109" i="33" s="1"/>
  <c r="K62" i="31"/>
  <c r="J62" i="31" s="1"/>
  <c r="U62" i="31"/>
  <c r="T62" i="31" s="1"/>
  <c r="U68" i="36"/>
  <c r="U69" i="36"/>
  <c r="M68" i="36"/>
  <c r="M69" i="36"/>
  <c r="L68" i="36"/>
  <c r="L69" i="36"/>
  <c r="V69" i="36"/>
  <c r="V68" i="36"/>
  <c r="V120" i="34"/>
  <c r="V119" i="34"/>
  <c r="V108" i="34"/>
  <c r="V107" i="34"/>
  <c r="L119" i="34"/>
  <c r="L107" i="34"/>
  <c r="L108" i="34"/>
  <c r="U120" i="34"/>
  <c r="U119" i="34"/>
  <c r="U108" i="34"/>
  <c r="T108" i="34" s="1"/>
  <c r="U107" i="34"/>
  <c r="W61" i="31"/>
  <c r="W60" i="31"/>
  <c r="V61" i="31"/>
  <c r="V60" i="31"/>
  <c r="U61" i="31"/>
  <c r="U60" i="31"/>
  <c r="L60" i="31"/>
  <c r="L61" i="31"/>
  <c r="M60" i="31"/>
  <c r="M61" i="31"/>
  <c r="L117" i="35"/>
  <c r="L124" i="35"/>
  <c r="V120" i="35"/>
  <c r="V119" i="35"/>
  <c r="M117" i="35"/>
  <c r="M121" i="35" s="1"/>
  <c r="M124" i="35"/>
  <c r="M108" i="35"/>
  <c r="M107" i="35"/>
  <c r="V107" i="35"/>
  <c r="V108" i="35"/>
  <c r="W107" i="35"/>
  <c r="W108" i="35"/>
  <c r="W120" i="35"/>
  <c r="W119" i="35"/>
  <c r="L108" i="35"/>
  <c r="L107" i="35"/>
  <c r="W120" i="33"/>
  <c r="W119" i="33"/>
  <c r="U107" i="33"/>
  <c r="U108" i="33"/>
  <c r="M119" i="33"/>
  <c r="M120" i="33"/>
  <c r="V107" i="33"/>
  <c r="V108" i="33"/>
  <c r="U119" i="33"/>
  <c r="U120" i="33"/>
  <c r="V119" i="33"/>
  <c r="V120" i="33"/>
  <c r="L108" i="33"/>
  <c r="L107" i="33"/>
  <c r="G93" i="33"/>
  <c r="J67" i="36"/>
  <c r="T67" i="36"/>
  <c r="J106" i="34"/>
  <c r="J106" i="35"/>
  <c r="T118" i="35"/>
  <c r="T106" i="34"/>
  <c r="J118" i="34"/>
  <c r="K120" i="34" s="1"/>
  <c r="J120" i="34" s="1"/>
  <c r="G94" i="35"/>
  <c r="U107" i="35"/>
  <c r="T106" i="35"/>
  <c r="U108" i="35"/>
  <c r="G48" i="34"/>
  <c r="T118" i="34"/>
  <c r="T106" i="33"/>
  <c r="J59" i="31"/>
  <c r="T59" i="31"/>
  <c r="G94" i="34"/>
  <c r="G94" i="33"/>
  <c r="G49" i="31"/>
  <c r="T118" i="33"/>
  <c r="G48" i="36"/>
  <c r="G49" i="36"/>
  <c r="G47" i="36"/>
  <c r="G48" i="35"/>
  <c r="G95" i="33"/>
  <c r="G95" i="35"/>
  <c r="G49" i="35"/>
  <c r="G93" i="34"/>
  <c r="G47" i="33"/>
  <c r="G47" i="34"/>
  <c r="G48" i="31"/>
  <c r="G49" i="33"/>
  <c r="G47" i="31"/>
  <c r="T108" i="35" l="1"/>
  <c r="T119" i="41"/>
  <c r="AE46" i="30"/>
  <c r="G50" i="36"/>
  <c r="AF27" i="30" s="1"/>
  <c r="AI34" i="30"/>
  <c r="AE52" i="30"/>
  <c r="J118" i="35"/>
  <c r="K119" i="35" s="1"/>
  <c r="L121" i="35"/>
  <c r="J121" i="35" s="1"/>
  <c r="AG46" i="30" s="1"/>
  <c r="T107" i="34"/>
  <c r="J125" i="35"/>
  <c r="AH42" i="30" s="1"/>
  <c r="AH43" i="30" s="1"/>
  <c r="AC46" i="30"/>
  <c r="T69" i="36"/>
  <c r="W108" i="33"/>
  <c r="W109" i="33"/>
  <c r="T61" i="31"/>
  <c r="W107" i="33"/>
  <c r="T119" i="35"/>
  <c r="T120" i="35"/>
  <c r="AF46" i="30"/>
  <c r="K68" i="36"/>
  <c r="J68" i="36" s="1"/>
  <c r="K69" i="36"/>
  <c r="J69" i="36" s="1"/>
  <c r="K119" i="34"/>
  <c r="J119" i="34" s="1"/>
  <c r="K107" i="34"/>
  <c r="J107" i="34" s="1"/>
  <c r="K108" i="34"/>
  <c r="J108" i="34" s="1"/>
  <c r="AE51" i="30" s="1"/>
  <c r="K60" i="31"/>
  <c r="K61" i="31"/>
  <c r="M127" i="35"/>
  <c r="M126" i="35"/>
  <c r="L127" i="35"/>
  <c r="L126" i="35"/>
  <c r="K107" i="35"/>
  <c r="J107" i="35" s="1"/>
  <c r="AH48" i="30"/>
  <c r="AH49" i="30" s="1"/>
  <c r="M120" i="35"/>
  <c r="M119" i="35"/>
  <c r="L119" i="35"/>
  <c r="L120" i="35"/>
  <c r="M107" i="33"/>
  <c r="M108" i="33"/>
  <c r="T68" i="36"/>
  <c r="AE48" i="30"/>
  <c r="AE49" i="30" s="1"/>
  <c r="T107" i="35"/>
  <c r="AG48" i="30"/>
  <c r="AG49" i="30" s="1"/>
  <c r="K108" i="35"/>
  <c r="J108" i="35" s="1"/>
  <c r="G96" i="35"/>
  <c r="AE42" i="30"/>
  <c r="AE43" i="30" s="1"/>
  <c r="AF42" i="30"/>
  <c r="AF43" i="30" s="1"/>
  <c r="T119" i="34"/>
  <c r="T120" i="34"/>
  <c r="AE45" i="30" s="1"/>
  <c r="G50" i="34"/>
  <c r="AE27" i="30" s="1"/>
  <c r="T108" i="33"/>
  <c r="G96" i="33"/>
  <c r="AD34" i="30" s="1"/>
  <c r="G96" i="34"/>
  <c r="AE34" i="30" s="1"/>
  <c r="G50" i="35"/>
  <c r="T107" i="33"/>
  <c r="T119" i="33"/>
  <c r="T120" i="33"/>
  <c r="AC42" i="30"/>
  <c r="T60" i="31"/>
  <c r="G50" i="31"/>
  <c r="AC27" i="30" s="1"/>
  <c r="AD43" i="33"/>
  <c r="AE44" i="33" s="1"/>
  <c r="AG50" i="30" l="1"/>
  <c r="K120" i="35"/>
  <c r="J120" i="35" s="1"/>
  <c r="AG45" i="30" s="1"/>
  <c r="AE50" i="30"/>
  <c r="AF45" i="30"/>
  <c r="J127" i="35"/>
  <c r="AH45" i="30" s="1"/>
  <c r="AG42" i="30"/>
  <c r="AG43" i="30" s="1"/>
  <c r="J126" i="35"/>
  <c r="AH44" i="30" s="1"/>
  <c r="AC43" i="30"/>
  <c r="J119" i="35"/>
  <c r="AG44" i="30" s="1"/>
  <c r="AH50" i="30"/>
  <c r="AG51" i="30"/>
  <c r="AH51" i="30"/>
  <c r="AG34" i="30"/>
  <c r="AH34" i="30"/>
  <c r="AG27" i="30"/>
  <c r="AH27" i="30"/>
  <c r="AF44" i="30"/>
  <c r="AE44" i="30"/>
  <c r="J60" i="31"/>
  <c r="AC44" i="30" s="1"/>
  <c r="J61" i="31"/>
  <c r="AC45" i="30" s="1"/>
  <c r="G48" i="33"/>
  <c r="AD114" i="33"/>
  <c r="AE117" i="33" s="1"/>
  <c r="L117" i="33" s="1"/>
  <c r="G50" i="33" l="1"/>
  <c r="AD27" i="30" s="1"/>
  <c r="AI27" i="30"/>
  <c r="S34" i="30" s="1"/>
  <c r="L121" i="33"/>
  <c r="J121" i="33" s="1"/>
  <c r="AD46" i="30" s="1"/>
  <c r="S28" i="30" s="1"/>
  <c r="J118" i="33"/>
  <c r="L119" i="33"/>
  <c r="L120" i="33"/>
  <c r="AD42" i="30" l="1"/>
  <c r="K119" i="33"/>
  <c r="J119" i="33" s="1"/>
  <c r="AD44" i="30" s="1"/>
  <c r="K120" i="33"/>
  <c r="J120" i="33" s="1"/>
  <c r="AD45" i="30" s="1"/>
  <c r="AD43" i="30" l="1"/>
  <c r="K105" i="33"/>
  <c r="J106" i="33" l="1"/>
  <c r="AD48" i="30" s="1"/>
  <c r="AD49" i="30" s="1"/>
  <c r="K109" i="33"/>
  <c r="J109" i="33" s="1"/>
  <c r="K107" i="33" l="1"/>
  <c r="J107" i="33" s="1"/>
  <c r="AD50" i="30" s="1"/>
  <c r="S26" i="30" s="1"/>
  <c r="K108" i="33"/>
  <c r="J108" i="33" s="1"/>
  <c r="AD51" i="30" s="1"/>
  <c r="S27" i="30" s="1"/>
  <c r="P24" i="30"/>
</calcChain>
</file>

<file path=xl/sharedStrings.xml><?xml version="1.0" encoding="utf-8"?>
<sst xmlns="http://schemas.openxmlformats.org/spreadsheetml/2006/main" count="3980" uniqueCount="363">
  <si>
    <t>Montage</t>
  </si>
  <si>
    <t>type de poutrelle</t>
  </si>
  <si>
    <t>entraxe (cm)</t>
  </si>
  <si>
    <t>2 AL</t>
  </si>
  <si>
    <t>1 ASE</t>
  </si>
  <si>
    <t>G</t>
  </si>
  <si>
    <t>Q</t>
  </si>
  <si>
    <t>Revetement Fragiles</t>
  </si>
  <si>
    <t>Stockage Court</t>
  </si>
  <si>
    <t>Avec part permanente de Q</t>
  </si>
  <si>
    <t>GF177 J</t>
  </si>
  <si>
    <t>GF178 J</t>
  </si>
  <si>
    <t>GF179 J</t>
  </si>
  <si>
    <t>GF187 J</t>
  </si>
  <si>
    <t>GF188 J</t>
  </si>
  <si>
    <t>GF189 J</t>
  </si>
  <si>
    <t>Comparatif poutrelles GL jumelées - VS sans étai</t>
  </si>
  <si>
    <t>portée=</t>
  </si>
  <si>
    <t>charges permanentes G=</t>
  </si>
  <si>
    <t>EBS</t>
  </si>
  <si>
    <t>Etaiement:</t>
  </si>
  <si>
    <t>PLASTI-VS</t>
  </si>
  <si>
    <t>Continuitées</t>
  </si>
  <si>
    <t>POLYSEAC</t>
  </si>
  <si>
    <t>AL</t>
  </si>
  <si>
    <t>1C</t>
  </si>
  <si>
    <t>hourdis</t>
  </si>
  <si>
    <t xml:space="preserve"> hauteur hourdis</t>
  </si>
  <si>
    <t>table de compression</t>
  </si>
  <si>
    <t>SEACISOL</t>
  </si>
  <si>
    <t>table</t>
  </si>
  <si>
    <t>charges libres Q=</t>
  </si>
  <si>
    <t>charge libres</t>
  </si>
  <si>
    <t>permanentes</t>
  </si>
  <si>
    <t>101+150</t>
  </si>
  <si>
    <t>151+150</t>
  </si>
  <si>
    <t>201+150</t>
  </si>
  <si>
    <t>251+150</t>
  </si>
  <si>
    <t>401+150</t>
  </si>
  <si>
    <t>501+150</t>
  </si>
  <si>
    <t>101+250</t>
  </si>
  <si>
    <t>151+250</t>
  </si>
  <si>
    <t>201+250</t>
  </si>
  <si>
    <t>251+250</t>
  </si>
  <si>
    <t>401+250</t>
  </si>
  <si>
    <t>401+400</t>
  </si>
  <si>
    <t>251+400</t>
  </si>
  <si>
    <t>choix continuité</t>
  </si>
  <si>
    <t>choix table</t>
  </si>
  <si>
    <t>portée max charge choisit</t>
  </si>
  <si>
    <t>101+400</t>
  </si>
  <si>
    <t>nom produit</t>
  </si>
  <si>
    <t>image produit</t>
  </si>
  <si>
    <r>
      <rPr>
        <b/>
        <sz val="14"/>
        <color theme="0" tint="-0.14999847407452621"/>
        <rFont val="MS Sans Serif"/>
      </rPr>
      <t>"</t>
    </r>
    <r>
      <rPr>
        <b/>
        <sz val="14"/>
        <rFont val="MS Sans Serif"/>
      </rPr>
      <t>+</t>
    </r>
    <r>
      <rPr>
        <b/>
        <sz val="14"/>
        <color theme="0" tint="-0.14999847407452621"/>
        <rFont val="MS Sans Serif"/>
      </rPr>
      <t>"</t>
    </r>
  </si>
  <si>
    <t>planchers vide sanitaire</t>
  </si>
  <si>
    <t>PREDAL-SEACOUSTIC</t>
  </si>
  <si>
    <t>C17</t>
  </si>
  <si>
    <t>C21</t>
  </si>
  <si>
    <t>C25</t>
  </si>
  <si>
    <t>.</t>
  </si>
  <si>
    <t>20</t>
  </si>
  <si>
    <t>REI</t>
  </si>
  <si>
    <t>ml</t>
  </si>
  <si>
    <t>kg/m²</t>
  </si>
  <si>
    <t>portée max</t>
  </si>
  <si>
    <t>montage</t>
  </si>
  <si>
    <t xml:space="preserve">etaiment </t>
  </si>
  <si>
    <t>501+250</t>
  </si>
  <si>
    <t>501+400</t>
  </si>
  <si>
    <t>937R</t>
  </si>
  <si>
    <t>choix tableaux polyst</t>
  </si>
  <si>
    <t xml:space="preserve">poids </t>
  </si>
  <si>
    <t>litrage</t>
  </si>
  <si>
    <t>litrage béton:</t>
  </si>
  <si>
    <t>portée</t>
  </si>
  <si>
    <t>poids</t>
  </si>
  <si>
    <t>151+400</t>
  </si>
  <si>
    <t>201+400</t>
  </si>
  <si>
    <t>AVEC ETAI</t>
  </si>
  <si>
    <t>SANS ETAI</t>
  </si>
  <si>
    <t>301+150</t>
  </si>
  <si>
    <t>301+250</t>
  </si>
  <si>
    <t>301+400</t>
  </si>
  <si>
    <t xml:space="preserve">SANS ETAI </t>
  </si>
  <si>
    <t xml:space="preserve">AVEC ETAI </t>
  </si>
  <si>
    <t>4..3</t>
  </si>
  <si>
    <t>JUMELAGE</t>
  </si>
  <si>
    <t>JUM</t>
  </si>
  <si>
    <t>simple</t>
  </si>
  <si>
    <t>jumelée</t>
  </si>
  <si>
    <t>avec etai</t>
  </si>
  <si>
    <t>sans etai</t>
  </si>
  <si>
    <t>poids du plancher fini:</t>
  </si>
  <si>
    <t xml:space="preserve">montage </t>
  </si>
  <si>
    <t>non fourni</t>
  </si>
  <si>
    <r>
      <t xml:space="preserve">        </t>
    </r>
    <r>
      <rPr>
        <b/>
        <u/>
        <sz val="14"/>
        <rFont val="Calibri"/>
        <family val="2"/>
        <scheme val="minor"/>
      </rPr>
      <t>planchers étages</t>
    </r>
  </si>
  <si>
    <t>REI30</t>
  </si>
  <si>
    <t>REI60</t>
  </si>
  <si>
    <t xml:space="preserve">AVEC  ETAI </t>
  </si>
  <si>
    <t>avec ETAI</t>
  </si>
  <si>
    <t>"non disponible"</t>
  </si>
  <si>
    <t>poutrelle</t>
  </si>
  <si>
    <t>Montage jumelée non proposé</t>
  </si>
  <si>
    <t>15+5 Polyseac</t>
  </si>
  <si>
    <t>[0]</t>
  </si>
  <si>
    <t>Els</t>
  </si>
  <si>
    <t>Php</t>
  </si>
  <si>
    <t>15+6 Polyseac</t>
  </si>
  <si>
    <t>15 + 7 Polyseac</t>
  </si>
  <si>
    <t>15 + 8 Polyseac</t>
  </si>
  <si>
    <t>"non disponible en 12"</t>
  </si>
  <si>
    <t>12+5</t>
  </si>
  <si>
    <t>12+6</t>
  </si>
  <si>
    <t>12+7</t>
  </si>
  <si>
    <t>12+8</t>
  </si>
  <si>
    <t>15+5</t>
  </si>
  <si>
    <t>15+6</t>
  </si>
  <si>
    <t>15+7</t>
  </si>
  <si>
    <t>15+8</t>
  </si>
  <si>
    <t>20+5</t>
  </si>
  <si>
    <t>20+6</t>
  </si>
  <si>
    <t>20+7</t>
  </si>
  <si>
    <t>20+8</t>
  </si>
  <si>
    <t>predim avec etai</t>
  </si>
  <si>
    <t>predim sans étai</t>
  </si>
  <si>
    <t>preco seac</t>
  </si>
  <si>
    <t>montage imposé</t>
  </si>
  <si>
    <t>SIMPLE</t>
  </si>
  <si>
    <t>__</t>
  </si>
  <si>
    <t>jum</t>
  </si>
  <si>
    <t>version 1-09-25</t>
  </si>
  <si>
    <t>C17+5</t>
  </si>
  <si>
    <t>C17+6</t>
  </si>
  <si>
    <t>C17+7</t>
  </si>
  <si>
    <t>C17+8</t>
  </si>
  <si>
    <t>C21+5</t>
  </si>
  <si>
    <t>C21+6</t>
  </si>
  <si>
    <t>C21+7</t>
  </si>
  <si>
    <t>C21+8</t>
  </si>
  <si>
    <t>C25+5</t>
  </si>
  <si>
    <t>C25+6</t>
  </si>
  <si>
    <t>C25+7</t>
  </si>
  <si>
    <t>C25+8</t>
  </si>
  <si>
    <t>predim REI30</t>
  </si>
  <si>
    <t>predim REI60</t>
  </si>
  <si>
    <t>NOTA:</t>
  </si>
  <si>
    <t xml:space="preserve">un plancher REI 60 doit avoir </t>
  </si>
  <si>
    <t xml:space="preserve">une hauteur totale minimale </t>
  </si>
  <si>
    <t>table de compression + chape de 8 cm</t>
  </si>
  <si>
    <t xml:space="preserve">Aide à l'utilisation </t>
  </si>
  <si>
    <t>"portées du plancher</t>
  </si>
  <si>
    <t>"charges G et Q du projet</t>
  </si>
  <si>
    <t>"conditions d'étaiement</t>
  </si>
  <si>
    <t>"degrés coupe feu pour les étages</t>
  </si>
  <si>
    <t>Cet outil vous propose de déterminer et dimensionner  les différents type de plancher  POUTRELLE SEAC</t>
  </si>
  <si>
    <t xml:space="preserve">selon les hypothèses suivantes, </t>
  </si>
  <si>
    <t>"continuités possibles</t>
  </si>
  <si>
    <t>les calculs sont réalisés pour des conditions de revêtement fragile</t>
  </si>
  <si>
    <t xml:space="preserve">préconisation SEAC </t>
  </si>
  <si>
    <t>étai</t>
  </si>
  <si>
    <t>Predal-seacoustic</t>
  </si>
  <si>
    <t>51+150</t>
  </si>
  <si>
    <t>51+250</t>
  </si>
  <si>
    <t>51+400</t>
  </si>
  <si>
    <t>preco</t>
  </si>
  <si>
    <t>PREDAL SEACOUSTIC</t>
  </si>
  <si>
    <t>Continuités</t>
  </si>
  <si>
    <t>CO²</t>
  </si>
  <si>
    <t>R</t>
  </si>
  <si>
    <t>KNAUF Thane  56 mm</t>
  </si>
  <si>
    <t>PU TMS 30 mm</t>
  </si>
  <si>
    <t>FDES_SOPREMA_TMS sol 30 mm_20201027</t>
  </si>
  <si>
    <t>KNAUF Thane  80 mm</t>
  </si>
  <si>
    <t>PU TMS 48 mm</t>
  </si>
  <si>
    <t>FDES_SOPREMA_TMS sol 48 mm_20201027</t>
  </si>
  <si>
    <t>GF120</t>
  </si>
  <si>
    <t>GF120 JUM</t>
  </si>
  <si>
    <t>GF137</t>
  </si>
  <si>
    <t>GF137 JUM</t>
  </si>
  <si>
    <t>GF 158</t>
  </si>
  <si>
    <t>GF 158 JUM</t>
  </si>
  <si>
    <t>ecart table</t>
  </si>
  <si>
    <t>sans</t>
  </si>
  <si>
    <t>PU TMS 56 mm</t>
  </si>
  <si>
    <t>FDES_SOPREMA_TMS sol 56 mm_20191119</t>
  </si>
  <si>
    <t>EBS 12X57X125</t>
  </si>
  <si>
    <t>PU TMS 68 mm</t>
  </si>
  <si>
    <t>FDES_SOPREMA_TMS sol 68 mm_20201027</t>
  </si>
  <si>
    <t>EBS 15X57X125</t>
  </si>
  <si>
    <t>entraxe(cm)</t>
  </si>
  <si>
    <t>kg co²eq    m²</t>
  </si>
  <si>
    <t>kg co²eq    /m²</t>
  </si>
  <si>
    <t>Qté (l)</t>
  </si>
  <si>
    <t>co²eq/l</t>
  </si>
  <si>
    <t>PU TMS 80 mm</t>
  </si>
  <si>
    <t>FDES_SOPREMA_TMS sol 80 mm_20191119</t>
  </si>
  <si>
    <t>EBS 20X57X125</t>
  </si>
  <si>
    <t>SELECTIONNEZ</t>
  </si>
  <si>
    <t>beton</t>
  </si>
  <si>
    <t>PU TMS 100 mm</t>
  </si>
  <si>
    <t>FDES_SOPREMA_TMS sol 100 mm_20191119</t>
  </si>
  <si>
    <t>GF 137-GF 158</t>
  </si>
  <si>
    <t>Beton_(hors armature) pour dalle C25 30 XC1 XC2 CEMII A_07_2019</t>
  </si>
  <si>
    <t>(197.5/m3)</t>
  </si>
  <si>
    <t>PU TMS 120 mm</t>
  </si>
  <si>
    <t>poids ptrelle/m2</t>
  </si>
  <si>
    <t>Béton C25-30 CEMIII-A S4 XC1 Hors armature configurateur BETie - Version Septembre 2018</t>
  </si>
  <si>
    <t xml:space="preserve">PU UNILIN UTHERM 80 mm - </t>
  </si>
  <si>
    <t>FDES_SOPREMA_TMS sol 120 mm_20201027</t>
  </si>
  <si>
    <t>poids ebs 15/m²</t>
  </si>
  <si>
    <t xml:space="preserve">PU  UNILIN UTHERM 101 mm - </t>
  </si>
  <si>
    <t>poids ebs 20/m²</t>
  </si>
  <si>
    <t xml:space="preserve">PU UNILIN UTHERM 120 mm - </t>
  </si>
  <si>
    <t>poids  calc 12+5</t>
  </si>
  <si>
    <t>PU projeté in-situ 70 mm</t>
  </si>
  <si>
    <t>poids  calc 15+5</t>
  </si>
  <si>
    <t xml:space="preserve"> Résultats réchauffement climatique par élément de plancher (kg CO2 eq./m²)</t>
  </si>
  <si>
    <t>poids  calc 20+5</t>
  </si>
  <si>
    <t>poids pla 12+</t>
  </si>
  <si>
    <t>KNAUF Thane 100 mm</t>
  </si>
  <si>
    <t>poids pla 15+</t>
  </si>
  <si>
    <t>poids pla 20+</t>
  </si>
  <si>
    <t xml:space="preserve">poids biosourcé </t>
  </si>
  <si>
    <t>GF 112 à GF 125</t>
  </si>
  <si>
    <t>co²eq/ml</t>
  </si>
  <si>
    <t>PSE KNAUF Therm  80 mm</t>
  </si>
  <si>
    <t>MONTAGE CHOISI</t>
  </si>
  <si>
    <t>PSE KNAUF Therm 100 mm</t>
  </si>
  <si>
    <t>GF 933 à GF 937</t>
  </si>
  <si>
    <t>PSE KNAUF Therm  200 mm</t>
  </si>
  <si>
    <t>KG/m²</t>
  </si>
  <si>
    <t>acier ferraillage</t>
  </si>
  <si>
    <t>SEAC</t>
  </si>
  <si>
    <t>wordsteel</t>
  </si>
  <si>
    <t>co²eq/kg</t>
  </si>
  <si>
    <t>hourdis beton</t>
  </si>
  <si>
    <t>cerib</t>
  </si>
  <si>
    <t>ded</t>
  </si>
  <si>
    <t>polyseac up 11</t>
  </si>
  <si>
    <t>Réferences des FDES prises en compte (base INIES)</t>
  </si>
  <si>
    <t>polyseac up 15</t>
  </si>
  <si>
    <t>polyseac up 19</t>
  </si>
  <si>
    <t>polyseac up 23</t>
  </si>
  <si>
    <t>polyseac up 27</t>
  </si>
  <si>
    <t>FDES_Poutrelle_BP H inf. 12cm_03.2020 n°1-72:2020</t>
  </si>
  <si>
    <t>polyseac up 30</t>
  </si>
  <si>
    <t>FDES_Poutrelle_BP H 12_15 cm_03.2020 n°1-73:2020</t>
  </si>
  <si>
    <t>polyseac up 80</t>
  </si>
  <si>
    <t>138-158</t>
  </si>
  <si>
    <t>FDES_gamme EBS  INIES : 20250946611</t>
  </si>
  <si>
    <t xml:space="preserve">EBS </t>
  </si>
  <si>
    <t>FDES PLASTI-VS INIES : n°20260148591</t>
  </si>
  <si>
    <t>FDES POLYSEAC UP11àUP 15 INIES : n°20260148578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</si>
  <si>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</si>
  <si>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</si>
  <si>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</si>
  <si>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</si>
  <si>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</si>
  <si>
    <t>FDES POLYSEAC UP19 INIES : n°20260148580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</si>
  <si>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</si>
  <si>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</si>
  <si>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t>FDES POLYSEAC UP23 INIES : n°20260148577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</si>
  <si>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</si>
  <si>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</si>
  <si>
    <t>FDES POLYSEAC &gt;UP23 INIES : n°20260148577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</si>
  <si>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</si>
  <si>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</si>
  <si>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</si>
  <si>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</si>
  <si>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t>ecart de table</t>
  </si>
  <si>
    <t>APA_FDES__Armatures catalogue_2023_06_v1.3</t>
  </si>
  <si>
    <t>rehausse de 5 ajout de 1.20</t>
  </si>
  <si>
    <t>UP</t>
  </si>
  <si>
    <t>up</t>
  </si>
  <si>
    <t>co²</t>
  </si>
  <si>
    <t>co2</t>
  </si>
  <si>
    <t>h15</t>
  </si>
  <si>
    <t>h12</t>
  </si>
  <si>
    <t>h20</t>
  </si>
  <si>
    <t>montage choisi</t>
  </si>
  <si>
    <t>S</t>
  </si>
  <si>
    <t>J</t>
  </si>
  <si>
    <t>CEM II(197kgco²/m3)</t>
  </si>
  <si>
    <t>CEM III(150kgco²/m3)</t>
  </si>
  <si>
    <t>autre béton (kg co²/m3)</t>
  </si>
  <si>
    <t>s</t>
  </si>
  <si>
    <t>j</t>
  </si>
  <si>
    <t>ml/m²</t>
  </si>
  <si>
    <t xml:space="preserve">SEACISOL </t>
  </si>
  <si>
    <t>------------&gt;</t>
  </si>
  <si>
    <t>PLASTI-VS 12-57X125</t>
  </si>
  <si>
    <t>PLASTI-VS 15-57X125</t>
  </si>
  <si>
    <t>seacbois 12-57X125</t>
  </si>
  <si>
    <t>seacbois 15-57X125</t>
  </si>
  <si>
    <t>seacbois 20-57X125</t>
  </si>
  <si>
    <t>SEACISOL C17 UP23 à UP15</t>
  </si>
  <si>
    <t>SEACISOL C21 UP23 à UP15</t>
  </si>
  <si>
    <t>SEACISOL C25 UP23 à UP17</t>
  </si>
  <si>
    <t>litrage beton</t>
  </si>
  <si>
    <t>choix s ou j co²</t>
  </si>
  <si>
    <t>choix s ou j litrage</t>
  </si>
  <si>
    <t>choisit</t>
  </si>
  <si>
    <t>12+5 JUM</t>
  </si>
  <si>
    <t>12+6 JUM</t>
  </si>
  <si>
    <t>12+7 JUM</t>
  </si>
  <si>
    <t>12+8 JUM</t>
  </si>
  <si>
    <t>15+5 JUM</t>
  </si>
  <si>
    <t>15+6 JUM</t>
  </si>
  <si>
    <t>15+7 JUM</t>
  </si>
  <si>
    <t>15+8 JUM</t>
  </si>
  <si>
    <t>20+5 JUM</t>
  </si>
  <si>
    <t>20+6 JUM</t>
  </si>
  <si>
    <t>20+7 JUM</t>
  </si>
  <si>
    <t>20+8 JUM</t>
  </si>
  <si>
    <t>PRECO</t>
  </si>
  <si>
    <r>
      <t xml:space="preserve">predim </t>
    </r>
    <r>
      <rPr>
        <b/>
        <sz val="10"/>
        <rFont val="MS Sans Serif"/>
      </rPr>
      <t>avec etai</t>
    </r>
  </si>
  <si>
    <r>
      <t xml:space="preserve">predim </t>
    </r>
    <r>
      <rPr>
        <b/>
        <sz val="10"/>
        <rFont val="MS Sans Serif"/>
      </rPr>
      <t>sans étai</t>
    </r>
  </si>
  <si>
    <t xml:space="preserve">   poids carbone du plancher </t>
  </si>
  <si>
    <t xml:space="preserve">   poids carbone du plancher :</t>
  </si>
  <si>
    <t xml:space="preserve">     EBS</t>
  </si>
  <si>
    <r>
      <rPr>
        <b/>
        <sz val="14"/>
        <rFont val="Calibri"/>
        <family val="2"/>
        <scheme val="minor"/>
      </rPr>
      <t xml:space="preserve">       </t>
    </r>
    <r>
      <rPr>
        <b/>
        <u/>
        <sz val="14"/>
        <rFont val="Calibri"/>
        <family val="2"/>
        <scheme val="minor"/>
      </rPr>
      <t>toit.terrasse</t>
    </r>
  </si>
  <si>
    <t>SEACBOIS</t>
  </si>
  <si>
    <t xml:space="preserve"> ep hourdis</t>
  </si>
  <si>
    <t xml:space="preserve">         calculez la portée maxi d'un montage</t>
  </si>
  <si>
    <t xml:space="preserve">   portée maxi du plancher  :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</si>
  <si>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11</t>
    </r>
    <r>
      <rPr>
        <sz val="9"/>
        <rFont val="Times New Roman"/>
        <family val="1"/>
      </rPr>
      <t xml:space="preserve"> </t>
    </r>
  </si>
  <si>
    <r>
      <t>polyseac  15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</si>
  <si>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polyseac  20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</si>
  <si>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15</t>
    </r>
  </si>
  <si>
    <t>polyseac  15 UP 15</t>
  </si>
  <si>
    <t>polyseac  20 UP 15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</si>
  <si>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19</t>
    </r>
  </si>
  <si>
    <t>polyseac  15 UP 19</t>
  </si>
  <si>
    <t>polyseac  20 UP 19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</si>
  <si>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23</t>
    </r>
  </si>
  <si>
    <t>polyseac  15 UP 23</t>
  </si>
  <si>
    <t>polyseac  20 UP 23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</si>
  <si>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27</t>
    </r>
  </si>
  <si>
    <t>polyseac  15 UP 27</t>
  </si>
  <si>
    <t>polyseac  20 UP 27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</si>
  <si>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30</t>
    </r>
  </si>
  <si>
    <t>polyseac  15 UP 30</t>
  </si>
  <si>
    <t>polyseac  20 UP 30</t>
  </si>
  <si>
    <t>EBS 12</t>
  </si>
  <si>
    <t>EBS  15</t>
  </si>
  <si>
    <t>EBS 20</t>
  </si>
  <si>
    <t>PLASTI-VS 12</t>
  </si>
  <si>
    <t>PLASTI-VS 15</t>
  </si>
  <si>
    <t>SEACBOIS 12</t>
  </si>
  <si>
    <t>SEACBOIS 15</t>
  </si>
  <si>
    <t>SEACBOIS 20</t>
  </si>
  <si>
    <t>SEACISOL C17</t>
  </si>
  <si>
    <t>SEACISOL C21</t>
  </si>
  <si>
    <t>SEACISOL C25</t>
  </si>
  <si>
    <t xml:space="preserve"> FDES SEACBOIE INIES : n°20260148581</t>
  </si>
  <si>
    <t xml:space="preserve">FDES SEACISOL à paraitre </t>
  </si>
  <si>
    <t xml:space="preserve">    SELECTIONNEZ</t>
  </si>
  <si>
    <t>simple ou jumelée</t>
  </si>
  <si>
    <t>SEACISOL C17 UP15 à 23</t>
  </si>
  <si>
    <t>SEACISOL C21 UP15 à 23</t>
  </si>
  <si>
    <t>SEACISOL C25 UP15 à 23</t>
  </si>
  <si>
    <t>kg de co²/m²</t>
  </si>
  <si>
    <r>
      <t xml:space="preserve">     SEACBOIS</t>
    </r>
    <r>
      <rPr>
        <b/>
        <sz val="10"/>
        <color theme="0" tint="-0.14999847407452621"/>
        <rFont val="MS Sans Serif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</si>
</sst>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;\(0\)"/>
    <numFmt numFmtId="165" formatCode="#,##0.00\ [$€];[Red]\-#,##0.00\ [$€]"/>
    <numFmt numFmtId="166" formatCode="_-* #,##0.00&quot; h/m²&quot;_-;\-* #,##0.00&quot; m²&quot;_-;_-* &quot;-&quot;??\ &quot;F&quot;_-;_-@_-"/>
    <numFmt numFmtId="167" formatCode="_-* #,##0.0&quot; kg/m²&quot;_-;\-* #,##0.0&quot; m²&quot;_-;_-* &quot;-&quot;??\ &quot;F&quot;_-;_-@_-"/>
    <numFmt numFmtId="168" formatCode="_-* #,##0.0&quot; l/m²&quot;_-;\-* #,##0.0&quot; l/m²&quot;_-;_-* &quot;-&quot;??\ &quot;F&quot;_-;_-@_-"/>
    <numFmt numFmtId="169" formatCode="0.000"/>
    <numFmt numFmtId="170" formatCode="_-* #,##0.0&quot; Kg/m²&quot;_-;\-* #,##0.0&quot; m²&quot;_-;_-* &quot;-&quot;??\ &quot;F&quot;_-;_-@_-"/>
    <numFmt numFmtId="171" formatCode="_-* #,##0.00&quot; kg/m²&quot;_-;\-* #,##0.00&quot; m²&quot;_-;_-* &quot;-&quot;??\ &quot;F&quot;_-;_-@_-"/>
  </numFmts>
  <fonts count="62" x14ac:knownFonts="1">
    <font>
      <sz val="10"/>
      <name val="MS Sans Serif"/>
    </font>
    <font>
      <b/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b/>
      <sz val="10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color indexed="8"/>
      <name val="MS Sans Serif"/>
      <family val="2"/>
    </font>
    <font>
      <b/>
      <sz val="11"/>
      <name val="MS Sans Serif"/>
      <family val="2"/>
    </font>
    <font>
      <b/>
      <sz val="11"/>
      <color indexed="8"/>
      <name val="MS Sans Serif"/>
      <family val="2"/>
    </font>
    <font>
      <vertAlign val="subscript"/>
      <sz val="11"/>
      <name val="MS Sans Serif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color indexed="8"/>
      <name val="MS Sans Serif"/>
      <family val="2"/>
    </font>
    <font>
      <b/>
      <sz val="14"/>
      <name val="MS Sans Serif"/>
    </font>
    <font>
      <sz val="8"/>
      <color rgb="FF000000"/>
      <name val="Segoe UI"/>
      <family val="2"/>
    </font>
    <font>
      <sz val="10"/>
      <color theme="0" tint="-0.14999847407452621"/>
      <name val="MS Sans Serif"/>
    </font>
    <font>
      <b/>
      <sz val="14"/>
      <color theme="0" tint="-0.14999847407452621"/>
      <name val="MS Sans Serif"/>
    </font>
    <font>
      <b/>
      <sz val="12"/>
      <name val="MS Sans Serif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sz val="16"/>
      <name val="MS Sans Serif"/>
    </font>
    <font>
      <sz val="8"/>
      <name val="MS Sans Serif"/>
    </font>
    <font>
      <b/>
      <sz val="12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0"/>
      <name val="MS Sans Serif"/>
    </font>
    <font>
      <b/>
      <sz val="14"/>
      <color rgb="FF00B050"/>
      <name val="Calibri"/>
      <family val="2"/>
      <scheme val="minor"/>
    </font>
    <font>
      <sz val="10"/>
      <color theme="0"/>
      <name val="MS Sans Serif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Arial Black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4"/>
      <name val="Calibri"/>
      <family val="2"/>
      <scheme val="minor"/>
    </font>
    <font>
      <sz val="9"/>
      <name val="Calibri"/>
      <family val="2"/>
    </font>
    <font>
      <sz val="9"/>
      <name val="Times New Roman"/>
      <family val="1"/>
    </font>
    <font>
      <sz val="9"/>
      <name val="Calibri"/>
      <family val="2"/>
      <scheme val="minor"/>
    </font>
    <font>
      <sz val="9"/>
      <name val="Calibri"/>
      <family val="1"/>
    </font>
    <font>
      <b/>
      <sz val="10"/>
      <color theme="0" tint="-0.14999847407452621"/>
      <name val="MS Sans Serif"/>
    </font>
    <font>
      <b/>
      <sz val="10"/>
      <color rgb="FFFF0000"/>
      <name val="MS Sans Serif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theme="0" tint="-0.14999847407452621"/>
      <name val="Arial Black"/>
      <family val="2"/>
    </font>
    <font>
      <b/>
      <sz val="10"/>
      <color rgb="FF00B050"/>
      <name val="MS Sans Serif"/>
    </font>
    <font>
      <sz val="10"/>
      <color rgb="FF00B050"/>
      <name val="MS Sans Serif"/>
    </font>
    <font>
      <sz val="11"/>
      <color theme="2" tint="-9.9978637043366805E-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4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93F19E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BA79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gray0625">
        <bgColor theme="2" tint="-9.9978637043366805E-2"/>
      </patternFill>
    </fill>
  </fills>
  <borders count="74">
    <border>
      <left/>
      <right/>
      <top/>
      <bottom/>
      <diagonal/>
    </border>
    <border>
      <left style="thin">
        <color indexed="55"/>
      </left>
      <right/>
      <top style="thin">
        <color indexed="23"/>
      </top>
      <bottom style="thin">
        <color indexed="9"/>
      </bottom>
      <diagonal/>
    </border>
    <border>
      <left/>
      <right style="thin">
        <color indexed="55"/>
      </right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8"/>
      </bottom>
      <diagonal/>
    </border>
    <border>
      <left/>
      <right style="thin">
        <color indexed="55"/>
      </right>
      <top style="thin">
        <color indexed="9"/>
      </top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/>
      <diagonal/>
    </border>
    <border>
      <left style="thin">
        <color indexed="8"/>
      </left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 style="thin">
        <color indexed="23"/>
      </bottom>
      <diagonal/>
    </border>
    <border>
      <left/>
      <right/>
      <top style="thin">
        <color indexed="8"/>
      </top>
      <bottom style="thin">
        <color indexed="23"/>
      </bottom>
      <diagonal/>
    </border>
    <border>
      <left/>
      <right style="thin">
        <color indexed="55"/>
      </right>
      <top style="thin">
        <color indexed="8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hair">
        <color indexed="55"/>
      </right>
      <top style="thin">
        <color indexed="9"/>
      </top>
      <bottom style="thin">
        <color indexed="8"/>
      </bottom>
      <diagonal/>
    </border>
    <border>
      <left/>
      <right style="thin">
        <color indexed="55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1"/>
      </left>
      <right style="thin">
        <color theme="1" tint="1"/>
      </right>
      <top style="thin">
        <color theme="1" tint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44" fontId="31" fillId="0" borderId="0" applyFont="0" applyFill="0" applyBorder="0" applyAlignment="0" applyProtection="0"/>
  </cellStyleXfs>
  <cellXfs count="284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2" fontId="12" fillId="3" borderId="7" xfId="0" applyNumberFormat="1" applyFont="1" applyFill="1" applyBorder="1" applyAlignment="1">
      <alignment horizontal="center" vertical="center"/>
    </xf>
    <xf numFmtId="164" fontId="14" fillId="3" borderId="6" xfId="0" applyNumberFormat="1" applyFont="1" applyFill="1" applyBorder="1" applyAlignment="1">
      <alignment horizontal="center" vertical="center"/>
    </xf>
    <xf numFmtId="2" fontId="14" fillId="3" borderId="8" xfId="0" applyNumberFormat="1" applyFont="1" applyFill="1" applyBorder="1" applyAlignment="1">
      <alignment horizontal="center" vertical="center"/>
    </xf>
    <xf numFmtId="2" fontId="12" fillId="3" borderId="6" xfId="0" applyNumberFormat="1" applyFont="1" applyFill="1" applyBorder="1" applyAlignment="1">
      <alignment horizontal="center" vertical="center"/>
    </xf>
    <xf numFmtId="2" fontId="14" fillId="3" borderId="9" xfId="0" applyNumberFormat="1" applyFont="1" applyFill="1" applyBorder="1" applyAlignment="1">
      <alignment horizontal="center" vertical="center"/>
    </xf>
    <xf numFmtId="1" fontId="13" fillId="5" borderId="10" xfId="0" applyNumberFormat="1" applyFont="1" applyFill="1" applyBorder="1" applyAlignment="1">
      <alignment horizontal="center" vertical="center"/>
    </xf>
    <xf numFmtId="1" fontId="13" fillId="5" borderId="0" xfId="0" applyNumberFormat="1" applyFont="1" applyFill="1" applyAlignment="1">
      <alignment horizontal="center" vertical="center"/>
    </xf>
    <xf numFmtId="2" fontId="12" fillId="5" borderId="11" xfId="0" applyNumberFormat="1" applyFont="1" applyFill="1" applyBorder="1" applyAlignment="1">
      <alignment horizontal="center" vertical="center"/>
    </xf>
    <xf numFmtId="164" fontId="14" fillId="5" borderId="0" xfId="0" applyNumberFormat="1" applyFont="1" applyFill="1" applyAlignment="1">
      <alignment horizontal="center" vertical="center"/>
    </xf>
    <xf numFmtId="2" fontId="14" fillId="5" borderId="12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Alignment="1">
      <alignment horizontal="center" vertical="center"/>
    </xf>
    <xf numFmtId="2" fontId="14" fillId="5" borderId="13" xfId="0" applyNumberFormat="1" applyFont="1" applyFill="1" applyBorder="1" applyAlignment="1">
      <alignment horizontal="center" vertical="center"/>
    </xf>
    <xf numFmtId="1" fontId="13" fillId="3" borderId="10" xfId="0" applyNumberFormat="1" applyFont="1" applyFill="1" applyBorder="1" applyAlignment="1">
      <alignment horizontal="center" vertical="center"/>
    </xf>
    <xf numFmtId="1" fontId="13" fillId="3" borderId="0" xfId="0" applyNumberFormat="1" applyFont="1" applyFill="1" applyAlignment="1">
      <alignment horizontal="center" vertical="center"/>
    </xf>
    <xf numFmtId="2" fontId="12" fillId="3" borderId="11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2" fontId="14" fillId="3" borderId="12" xfId="0" applyNumberFormat="1" applyFont="1" applyFill="1" applyBorder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2" fontId="14" fillId="3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5" borderId="14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16" xfId="0" applyFont="1" applyFill="1" applyBorder="1" applyAlignment="1">
      <alignment vertical="center" wrapText="1"/>
    </xf>
    <xf numFmtId="1" fontId="13" fillId="5" borderId="3" xfId="0" applyNumberFormat="1" applyFont="1" applyFill="1" applyBorder="1" applyAlignment="1">
      <alignment horizontal="center" vertical="center"/>
    </xf>
    <xf numFmtId="1" fontId="13" fillId="5" borderId="17" xfId="0" applyNumberFormat="1" applyFont="1" applyFill="1" applyBorder="1" applyAlignment="1">
      <alignment horizontal="center" vertical="center"/>
    </xf>
    <xf numFmtId="2" fontId="12" fillId="5" borderId="18" xfId="0" applyNumberFormat="1" applyFont="1" applyFill="1" applyBorder="1" applyAlignment="1">
      <alignment horizontal="center" vertical="center"/>
    </xf>
    <xf numFmtId="164" fontId="14" fillId="5" borderId="17" xfId="0" applyNumberFormat="1" applyFont="1" applyFill="1" applyBorder="1" applyAlignment="1">
      <alignment horizontal="center" vertical="center"/>
    </xf>
    <xf numFmtId="2" fontId="14" fillId="5" borderId="19" xfId="0" applyNumberFormat="1" applyFont="1" applyFill="1" applyBorder="1" applyAlignment="1">
      <alignment horizontal="center" vertical="center"/>
    </xf>
    <xf numFmtId="2" fontId="12" fillId="5" borderId="17" xfId="0" applyNumberFormat="1" applyFont="1" applyFill="1" applyBorder="1" applyAlignment="1">
      <alignment horizontal="center" vertical="center"/>
    </xf>
    <xf numFmtId="2" fontId="14" fillId="5" borderId="20" xfId="0" applyNumberFormat="1" applyFont="1" applyFill="1" applyBorder="1" applyAlignment="1">
      <alignment horizontal="center" vertical="center"/>
    </xf>
    <xf numFmtId="1" fontId="17" fillId="0" borderId="6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2" fontId="1" fillId="9" borderId="30" xfId="0" applyNumberFormat="1" applyFont="1" applyFill="1" applyBorder="1" applyAlignment="1" applyProtection="1">
      <alignment horizontal="center" vertical="center"/>
      <protection locked="0" hidden="1"/>
    </xf>
    <xf numFmtId="0" fontId="1" fillId="9" borderId="30" xfId="0" applyFont="1" applyFill="1" applyBorder="1" applyAlignment="1" applyProtection="1">
      <alignment horizontal="center" vertical="center"/>
      <protection locked="0" hidden="1"/>
    </xf>
    <xf numFmtId="0" fontId="0" fillId="6" borderId="35" xfId="0" applyFill="1" applyBorder="1" applyProtection="1">
      <protection hidden="1"/>
    </xf>
    <xf numFmtId="0" fontId="0" fillId="6" borderId="36" xfId="0" applyFill="1" applyBorder="1" applyProtection="1">
      <protection hidden="1"/>
    </xf>
    <xf numFmtId="0" fontId="0" fillId="6" borderId="36" xfId="0" applyFill="1" applyBorder="1" applyAlignment="1" applyProtection="1">
      <alignment horizontal="center"/>
      <protection hidden="1"/>
    </xf>
    <xf numFmtId="0" fontId="0" fillId="6" borderId="37" xfId="0" applyFill="1" applyBorder="1" applyProtection="1">
      <protection hidden="1"/>
    </xf>
    <xf numFmtId="0" fontId="0" fillId="6" borderId="38" xfId="0" applyFill="1" applyBorder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6" borderId="39" xfId="0" applyFill="1" applyBorder="1" applyProtection="1">
      <protection hidden="1"/>
    </xf>
    <xf numFmtId="0" fontId="30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right"/>
      <protection hidden="1"/>
    </xf>
    <xf numFmtId="0" fontId="0" fillId="6" borderId="0" xfId="0" applyFill="1" applyAlignment="1" applyProtection="1">
      <alignment horizontal="right"/>
      <protection hidden="1"/>
    </xf>
    <xf numFmtId="0" fontId="1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28" fillId="6" borderId="0" xfId="0" applyFont="1" applyFill="1" applyProtection="1">
      <protection hidden="1"/>
    </xf>
    <xf numFmtId="0" fontId="23" fillId="6" borderId="0" xfId="0" applyFont="1" applyFill="1" applyAlignment="1" applyProtection="1">
      <alignment horizontal="center"/>
      <protection hidden="1"/>
    </xf>
    <xf numFmtId="0" fontId="27" fillId="7" borderId="34" xfId="0" applyFont="1" applyFill="1" applyBorder="1" applyAlignment="1" applyProtection="1">
      <alignment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20" fillId="6" borderId="0" xfId="0" applyFont="1" applyFill="1" applyProtection="1">
      <protection hidden="1"/>
    </xf>
    <xf numFmtId="167" fontId="1" fillId="7" borderId="0" xfId="0" applyNumberFormat="1" applyFont="1" applyFill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0" fillId="7" borderId="34" xfId="0" applyFill="1" applyBorder="1" applyProtection="1">
      <protection hidden="1"/>
    </xf>
    <xf numFmtId="0" fontId="1" fillId="6" borderId="0" xfId="0" applyFont="1" applyFill="1" applyAlignment="1" applyProtection="1">
      <alignment horizontal="left"/>
      <protection hidden="1"/>
    </xf>
    <xf numFmtId="0" fontId="20" fillId="6" borderId="38" xfId="0" applyFont="1" applyFill="1" applyBorder="1" applyProtection="1">
      <protection hidden="1"/>
    </xf>
    <xf numFmtId="0" fontId="0" fillId="10" borderId="34" xfId="0" applyFill="1" applyBorder="1" applyProtection="1">
      <protection hidden="1"/>
    </xf>
    <xf numFmtId="0" fontId="0" fillId="6" borderId="40" xfId="0" applyFill="1" applyBorder="1" applyProtection="1">
      <protection hidden="1"/>
    </xf>
    <xf numFmtId="0" fontId="0" fillId="6" borderId="41" xfId="0" applyFill="1" applyBorder="1" applyProtection="1">
      <protection hidden="1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hidden="1"/>
    </xf>
    <xf numFmtId="0" fontId="24" fillId="8" borderId="30" xfId="0" applyFont="1" applyFill="1" applyBorder="1" applyAlignment="1" applyProtection="1">
      <alignment horizontal="center"/>
      <protection locked="0" hidden="1"/>
    </xf>
    <xf numFmtId="0" fontId="33" fillId="7" borderId="0" xfId="0" applyFont="1" applyFill="1" applyProtection="1">
      <protection hidden="1"/>
    </xf>
    <xf numFmtId="0" fontId="0" fillId="11" borderId="0" xfId="0" applyFill="1"/>
    <xf numFmtId="0" fontId="34" fillId="11" borderId="0" xfId="0" applyFont="1" applyFill="1"/>
    <xf numFmtId="0" fontId="35" fillId="11" borderId="0" xfId="0" applyFont="1" applyFill="1"/>
    <xf numFmtId="0" fontId="1" fillId="11" borderId="0" xfId="0" applyFont="1" applyFill="1"/>
    <xf numFmtId="0" fontId="36" fillId="11" borderId="0" xfId="0" applyFont="1" applyFill="1"/>
    <xf numFmtId="0" fontId="0" fillId="7" borderId="0" xfId="0" applyFill="1"/>
    <xf numFmtId="0" fontId="1" fillId="7" borderId="0" xfId="0" applyFont="1" applyFill="1"/>
    <xf numFmtId="0" fontId="25" fillId="7" borderId="0" xfId="0" applyFont="1" applyFill="1"/>
    <xf numFmtId="0" fontId="0" fillId="7" borderId="29" xfId="0" applyFill="1" applyBorder="1"/>
    <xf numFmtId="2" fontId="0" fillId="7" borderId="0" xfId="0" applyNumberFormat="1" applyFill="1"/>
    <xf numFmtId="49" fontId="0" fillId="7" borderId="0" xfId="0" applyNumberFormat="1" applyFill="1"/>
    <xf numFmtId="0" fontId="1" fillId="7" borderId="4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8" fillId="0" borderId="0" xfId="0" applyFont="1"/>
    <xf numFmtId="0" fontId="1" fillId="0" borderId="0" xfId="0" applyFont="1"/>
    <xf numFmtId="0" fontId="0" fillId="0" borderId="29" xfId="0" applyBorder="1"/>
    <xf numFmtId="2" fontId="0" fillId="0" borderId="0" xfId="0" applyNumberFormat="1"/>
    <xf numFmtId="49" fontId="0" fillId="0" borderId="0" xfId="0" applyNumberFormat="1"/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12" borderId="0" xfId="0" applyFill="1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166" fontId="0" fillId="0" borderId="0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170" fontId="42" fillId="16" borderId="51" xfId="0" applyNumberFormat="1" applyFont="1" applyFill="1" applyBorder="1" applyAlignment="1" applyProtection="1">
      <alignment horizontal="center" vertical="center"/>
      <protection locked="0"/>
    </xf>
    <xf numFmtId="0" fontId="42" fillId="17" borderId="51" xfId="0" applyFont="1" applyFill="1" applyBorder="1" applyAlignment="1" applyProtection="1">
      <alignment horizontal="center" vertical="center"/>
      <protection locked="0" hidden="1"/>
    </xf>
    <xf numFmtId="169" fontId="40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2" fontId="42" fillId="16" borderId="51" xfId="0" applyNumberFormat="1" applyFont="1" applyFill="1" applyBorder="1" applyAlignment="1">
      <alignment horizontal="center" vertical="center"/>
    </xf>
    <xf numFmtId="0" fontId="54" fillId="6" borderId="0" xfId="0" applyFont="1" applyFill="1" applyAlignment="1" applyProtection="1">
      <alignment horizontal="center"/>
      <protection hidden="1"/>
    </xf>
    <xf numFmtId="0" fontId="0" fillId="7" borderId="0" xfId="0" applyFill="1" applyAlignment="1">
      <alignment horizontal="right"/>
    </xf>
    <xf numFmtId="0" fontId="55" fillId="0" borderId="0" xfId="0" applyFont="1" applyProtection="1">
      <protection locked="0"/>
    </xf>
    <xf numFmtId="0" fontId="47" fillId="17" borderId="51" xfId="0" applyFont="1" applyFill="1" applyBorder="1" applyProtection="1">
      <protection locked="0" hidden="1"/>
    </xf>
    <xf numFmtId="2" fontId="42" fillId="15" borderId="51" xfId="0" applyNumberFormat="1" applyFont="1" applyFill="1" applyBorder="1" applyAlignment="1">
      <alignment horizontal="center" vertical="center"/>
    </xf>
    <xf numFmtId="0" fontId="1" fillId="7" borderId="0" xfId="0" applyFont="1" applyFill="1" applyProtection="1">
      <protection hidden="1"/>
    </xf>
    <xf numFmtId="0" fontId="1" fillId="7" borderId="0" xfId="0" applyFont="1" applyFill="1" applyAlignment="1" applyProtection="1">
      <alignment horizontal="center"/>
      <protection hidden="1"/>
    </xf>
    <xf numFmtId="0" fontId="1" fillId="7" borderId="34" xfId="0" applyFont="1" applyFill="1" applyBorder="1" applyProtection="1">
      <protection hidden="1"/>
    </xf>
    <xf numFmtId="0" fontId="58" fillId="6" borderId="0" xfId="0" applyFont="1" applyFill="1" applyAlignment="1" applyProtection="1">
      <alignment horizontal="center"/>
      <protection hidden="1"/>
    </xf>
    <xf numFmtId="0" fontId="30" fillId="6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locked="0"/>
    </xf>
    <xf numFmtId="49" fontId="18" fillId="6" borderId="0" xfId="0" applyNumberFormat="1" applyFont="1" applyFill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20" fillId="6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right"/>
      <protection hidden="1"/>
    </xf>
    <xf numFmtId="0" fontId="0" fillId="10" borderId="0" xfId="0" applyFill="1" applyProtection="1">
      <protection hidden="1"/>
    </xf>
    <xf numFmtId="167" fontId="0" fillId="10" borderId="0" xfId="0" applyNumberFormat="1" applyFill="1" applyAlignment="1" applyProtection="1">
      <alignment horizontal="center"/>
      <protection hidden="1"/>
    </xf>
    <xf numFmtId="168" fontId="0" fillId="10" borderId="0" xfId="0" applyNumberForma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left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71" fontId="59" fillId="7" borderId="0" xfId="0" applyNumberFormat="1" applyFont="1" applyFill="1" applyAlignment="1" applyProtection="1">
      <alignment horizontal="center"/>
      <protection hidden="1"/>
    </xf>
    <xf numFmtId="171" fontId="60" fillId="10" borderId="0" xfId="0" applyNumberFormat="1" applyFont="1" applyFill="1" applyAlignment="1" applyProtection="1">
      <alignment horizontal="center"/>
      <protection hidden="1"/>
    </xf>
    <xf numFmtId="169" fontId="40" fillId="14" borderId="69" xfId="0" applyNumberFormat="1" applyFont="1" applyFill="1" applyBorder="1" applyAlignment="1" applyProtection="1">
      <alignment vertical="center"/>
      <protection hidden="1"/>
    </xf>
    <xf numFmtId="2" fontId="0" fillId="14" borderId="70" xfId="0" applyNumberFormat="1" applyFill="1" applyBorder="1" applyProtection="1">
      <protection hidden="1"/>
    </xf>
    <xf numFmtId="0" fontId="0" fillId="18" borderId="71" xfId="0" applyFill="1" applyBorder="1" applyAlignment="1">
      <alignment horizontal="center"/>
    </xf>
    <xf numFmtId="0" fontId="0" fillId="14" borderId="68" xfId="0" applyFill="1" applyBorder="1" applyProtection="1">
      <protection hidden="1"/>
    </xf>
    <xf numFmtId="2" fontId="0" fillId="14" borderId="69" xfId="0" applyNumberFormat="1" applyFill="1" applyBorder="1" applyProtection="1">
      <protection hidden="1"/>
    </xf>
    <xf numFmtId="0" fontId="40" fillId="13" borderId="64" xfId="0" applyFont="1" applyFill="1" applyBorder="1" applyAlignment="1">
      <alignment vertical="center"/>
    </xf>
    <xf numFmtId="0" fontId="42" fillId="13" borderId="51" xfId="0" applyFont="1" applyFill="1" applyBorder="1" applyAlignment="1" applyProtection="1">
      <alignment horizontal="center" vertical="center"/>
      <protection locked="0" hidden="1"/>
    </xf>
    <xf numFmtId="0" fontId="42" fillId="15" borderId="51" xfId="0" applyFont="1" applyFill="1" applyBorder="1" applyAlignment="1" applyProtection="1">
      <alignment horizontal="center"/>
      <protection locked="0" hidden="1"/>
    </xf>
    <xf numFmtId="0" fontId="54" fillId="6" borderId="0" xfId="0" applyFont="1" applyFill="1" applyAlignment="1" applyProtection="1">
      <alignment horizontal="center"/>
      <protection locked="0" hidden="1"/>
    </xf>
    <xf numFmtId="0" fontId="0" fillId="12" borderId="0" xfId="0" applyFill="1" applyAlignment="1">
      <alignment horizontal="center"/>
    </xf>
    <xf numFmtId="14" fontId="38" fillId="12" borderId="0" xfId="0" applyNumberFormat="1" applyFont="1" applyFill="1"/>
    <xf numFmtId="14" fontId="37" fillId="12" borderId="0" xfId="0" applyNumberFormat="1" applyFont="1" applyFill="1"/>
    <xf numFmtId="0" fontId="39" fillId="12" borderId="0" xfId="0" applyFont="1" applyFill="1"/>
    <xf numFmtId="0" fontId="39" fillId="12" borderId="0" xfId="0" applyFont="1" applyFill="1" applyAlignment="1">
      <alignment horizontal="center"/>
    </xf>
    <xf numFmtId="0" fontId="40" fillId="12" borderId="44" xfId="0" applyFont="1" applyFill="1" applyBorder="1" applyAlignment="1">
      <alignment vertical="center"/>
    </xf>
    <xf numFmtId="2" fontId="0" fillId="12" borderId="45" xfId="0" applyNumberFormat="1" applyFill="1" applyBorder="1"/>
    <xf numFmtId="2" fontId="0" fillId="12" borderId="67" xfId="0" applyNumberFormat="1" applyFill="1" applyBorder="1"/>
    <xf numFmtId="0" fontId="38" fillId="12" borderId="0" xfId="0" applyFont="1" applyFill="1"/>
    <xf numFmtId="0" fontId="38" fillId="12" borderId="0" xfId="0" applyFont="1" applyFill="1" applyAlignment="1">
      <alignment horizontal="right"/>
    </xf>
    <xf numFmtId="0" fontId="41" fillId="12" borderId="0" xfId="0" applyFont="1" applyFill="1" applyAlignment="1">
      <alignment horizontal="left"/>
    </xf>
    <xf numFmtId="0" fontId="40" fillId="12" borderId="0" xfId="0" applyFont="1" applyFill="1" applyAlignment="1" applyProtection="1">
      <alignment vertical="center"/>
      <protection hidden="1"/>
    </xf>
    <xf numFmtId="169" fontId="40" fillId="12" borderId="0" xfId="0" applyNumberFormat="1" applyFont="1" applyFill="1" applyAlignment="1" applyProtection="1">
      <alignment vertical="center"/>
      <protection hidden="1"/>
    </xf>
    <xf numFmtId="0" fontId="0" fillId="12" borderId="0" xfId="0" applyFill="1" applyProtection="1">
      <protection hidden="1"/>
    </xf>
    <xf numFmtId="0" fontId="0" fillId="12" borderId="0" xfId="0" applyFill="1" applyAlignment="1" applyProtection="1">
      <alignment horizontal="center"/>
      <protection hidden="1"/>
    </xf>
    <xf numFmtId="2" fontId="0" fillId="12" borderId="0" xfId="0" applyNumberFormat="1" applyFill="1" applyProtection="1">
      <protection hidden="1"/>
    </xf>
    <xf numFmtId="0" fontId="42" fillId="12" borderId="0" xfId="0" applyFont="1" applyFill="1" applyAlignment="1" applyProtection="1">
      <alignment vertical="center"/>
      <protection hidden="1"/>
    </xf>
    <xf numFmtId="169" fontId="42" fillId="12" borderId="0" xfId="0" applyNumberFormat="1" applyFont="1" applyFill="1" applyAlignment="1" applyProtection="1">
      <alignment vertical="center"/>
      <protection hidden="1"/>
    </xf>
    <xf numFmtId="0" fontId="40" fillId="12" borderId="0" xfId="0" applyFont="1" applyFill="1" applyAlignment="1">
      <alignment vertical="center"/>
    </xf>
    <xf numFmtId="0" fontId="0" fillId="12" borderId="0" xfId="0" applyFill="1" applyAlignment="1">
      <alignment horizontal="right"/>
    </xf>
    <xf numFmtId="0" fontId="56" fillId="20" borderId="65" xfId="0" applyFont="1" applyFill="1" applyBorder="1" applyAlignment="1">
      <alignment vertical="center"/>
    </xf>
    <xf numFmtId="0" fontId="0" fillId="21" borderId="54" xfId="0" applyFill="1" applyBorder="1" applyProtection="1">
      <protection hidden="1"/>
    </xf>
    <xf numFmtId="169" fontId="40" fillId="12" borderId="44" xfId="0" applyNumberFormat="1" applyFont="1" applyFill="1" applyBorder="1" applyAlignment="1">
      <alignment vertical="center"/>
    </xf>
    <xf numFmtId="0" fontId="57" fillId="20" borderId="0" xfId="0" applyFont="1" applyFill="1" applyAlignment="1">
      <alignment vertical="center"/>
    </xf>
    <xf numFmtId="0" fontId="43" fillId="12" borderId="0" xfId="0" applyFont="1" applyFill="1"/>
    <xf numFmtId="0" fontId="45" fillId="12" borderId="0" xfId="0" applyFont="1" applyFill="1"/>
    <xf numFmtId="2" fontId="40" fillId="12" borderId="44" xfId="0" applyNumberFormat="1" applyFont="1" applyFill="1" applyBorder="1" applyAlignment="1">
      <alignment vertical="center"/>
    </xf>
    <xf numFmtId="2" fontId="0" fillId="12" borderId="0" xfId="0" applyNumberFormat="1" applyFill="1"/>
    <xf numFmtId="0" fontId="0" fillId="12" borderId="0" xfId="0" applyFill="1" applyAlignment="1">
      <alignment vertical="center" wrapText="1"/>
    </xf>
    <xf numFmtId="2" fontId="38" fillId="12" borderId="0" xfId="0" applyNumberFormat="1" applyFont="1" applyFill="1"/>
    <xf numFmtId="49" fontId="40" fillId="12" borderId="44" xfId="0" applyNumberFormat="1" applyFont="1" applyFill="1" applyBorder="1" applyAlignment="1">
      <alignment vertical="center"/>
    </xf>
    <xf numFmtId="0" fontId="40" fillId="12" borderId="0" xfId="0" applyFont="1" applyFill="1" applyAlignment="1">
      <alignment horizontal="right" vertical="center"/>
    </xf>
    <xf numFmtId="2" fontId="0" fillId="12" borderId="29" xfId="0" applyNumberFormat="1" applyFill="1" applyBorder="1"/>
    <xf numFmtId="0" fontId="0" fillId="12" borderId="0" xfId="0" applyFill="1" applyAlignment="1" applyProtection="1">
      <alignment vertical="center"/>
      <protection hidden="1"/>
    </xf>
    <xf numFmtId="0" fontId="0" fillId="12" borderId="0" xfId="0" applyFill="1" applyAlignment="1" applyProtection="1">
      <alignment vertical="center" wrapText="1"/>
      <protection hidden="1"/>
    </xf>
    <xf numFmtId="0" fontId="0" fillId="12" borderId="0" xfId="0" applyFill="1" applyAlignment="1" applyProtection="1">
      <alignment horizontal="center" vertical="center" wrapText="1"/>
      <protection hidden="1"/>
    </xf>
    <xf numFmtId="0" fontId="48" fillId="12" borderId="0" xfId="0" applyFont="1" applyFill="1" applyAlignment="1">
      <alignment vertical="center"/>
    </xf>
    <xf numFmtId="0" fontId="49" fillId="12" borderId="0" xfId="0" applyFont="1" applyFill="1"/>
    <xf numFmtId="0" fontId="49" fillId="12" borderId="0" xfId="0" applyFont="1" applyFill="1" applyProtection="1">
      <protection hidden="1"/>
    </xf>
    <xf numFmtId="0" fontId="41" fillId="12" borderId="0" xfId="0" applyFont="1" applyFill="1" applyProtection="1">
      <protection hidden="1"/>
    </xf>
    <xf numFmtId="0" fontId="38" fillId="12" borderId="0" xfId="0" applyFont="1" applyFill="1" applyProtection="1">
      <protection hidden="1"/>
    </xf>
    <xf numFmtId="0" fontId="47" fillId="12" borderId="0" xfId="0" applyFont="1" applyFill="1" applyAlignment="1">
      <alignment vertical="center"/>
    </xf>
    <xf numFmtId="0" fontId="37" fillId="12" borderId="0" xfId="0" applyFont="1" applyFill="1" applyAlignment="1">
      <alignment horizontal="left"/>
    </xf>
    <xf numFmtId="0" fontId="50" fillId="12" borderId="63" xfId="0" applyFont="1" applyFill="1" applyBorder="1" applyAlignment="1">
      <alignment horizontal="left" vertical="top" wrapText="1"/>
    </xf>
    <xf numFmtId="0" fontId="52" fillId="12" borderId="63" xfId="0" applyFont="1" applyFill="1" applyBorder="1" applyAlignment="1">
      <alignment horizontal="center" vertical="top" wrapText="1"/>
    </xf>
    <xf numFmtId="0" fontId="38" fillId="12" borderId="29" xfId="0" applyFont="1" applyFill="1" applyBorder="1"/>
    <xf numFmtId="0" fontId="52" fillId="12" borderId="29" xfId="0" applyFont="1" applyFill="1" applyBorder="1" applyAlignment="1">
      <alignment horizontal="center" vertical="top" wrapText="1"/>
    </xf>
    <xf numFmtId="0" fontId="52" fillId="12" borderId="66" xfId="0" applyFont="1" applyFill="1" applyBorder="1" applyAlignment="1">
      <alignment horizontal="center" vertical="top" wrapText="1"/>
    </xf>
    <xf numFmtId="2" fontId="0" fillId="12" borderId="13" xfId="0" applyNumberFormat="1" applyFill="1" applyBorder="1"/>
    <xf numFmtId="0" fontId="53" fillId="12" borderId="29" xfId="0" applyFont="1" applyFill="1" applyBorder="1" applyAlignment="1">
      <alignment horizontal="left" vertical="top" wrapText="1"/>
    </xf>
    <xf numFmtId="0" fontId="50" fillId="12" borderId="0" xfId="0" applyFont="1" applyFill="1" applyAlignment="1">
      <alignment horizontal="left" vertical="top" wrapText="1"/>
    </xf>
    <xf numFmtId="0" fontId="0" fillId="21" borderId="46" xfId="0" applyFill="1" applyBorder="1"/>
    <xf numFmtId="0" fontId="0" fillId="21" borderId="47" xfId="0" applyFill="1" applyBorder="1"/>
    <xf numFmtId="0" fontId="0" fillId="21" borderId="47" xfId="0" applyFill="1" applyBorder="1" applyAlignment="1">
      <alignment horizontal="center"/>
    </xf>
    <xf numFmtId="0" fontId="0" fillId="21" borderId="48" xfId="0" applyFill="1" applyBorder="1"/>
    <xf numFmtId="0" fontId="0" fillId="21" borderId="49" xfId="0" applyFill="1" applyBorder="1"/>
    <xf numFmtId="0" fontId="0" fillId="21" borderId="50" xfId="0" applyFill="1" applyBorder="1"/>
    <xf numFmtId="0" fontId="0" fillId="21" borderId="0" xfId="0" applyFill="1" applyAlignment="1">
      <alignment horizontal="center" vertical="center"/>
    </xf>
    <xf numFmtId="0" fontId="0" fillId="21" borderId="0" xfId="0" applyFill="1" applyAlignment="1">
      <alignment horizontal="center" vertical="center" wrapText="1"/>
    </xf>
    <xf numFmtId="0" fontId="0" fillId="21" borderId="52" xfId="0" applyFill="1" applyBorder="1"/>
    <xf numFmtId="0" fontId="40" fillId="21" borderId="53" xfId="0" applyFont="1" applyFill="1" applyBorder="1" applyAlignment="1" applyProtection="1">
      <alignment vertical="center"/>
      <protection hidden="1"/>
    </xf>
    <xf numFmtId="0" fontId="0" fillId="21" borderId="72" xfId="0" applyFill="1" applyBorder="1"/>
    <xf numFmtId="169" fontId="40" fillId="21" borderId="53" xfId="0" applyNumberFormat="1" applyFont="1" applyFill="1" applyBorder="1" applyAlignment="1" applyProtection="1">
      <alignment vertical="center"/>
      <protection hidden="1"/>
    </xf>
    <xf numFmtId="0" fontId="0" fillId="21" borderId="53" xfId="0" applyFill="1" applyBorder="1" applyProtection="1">
      <protection hidden="1"/>
    </xf>
    <xf numFmtId="0" fontId="0" fillId="21" borderId="53" xfId="0" applyFill="1" applyBorder="1" applyAlignment="1" applyProtection="1">
      <alignment horizontal="center"/>
      <protection hidden="1"/>
    </xf>
    <xf numFmtId="2" fontId="0" fillId="21" borderId="53" xfId="0" applyNumberFormat="1" applyFill="1" applyBorder="1" applyProtection="1">
      <protection hidden="1"/>
    </xf>
    <xf numFmtId="0" fontId="61" fillId="21" borderId="53" xfId="0" applyFont="1" applyFill="1" applyBorder="1" applyAlignment="1" applyProtection="1">
      <alignment horizontal="center"/>
      <protection hidden="1"/>
    </xf>
    <xf numFmtId="0" fontId="22" fillId="9" borderId="30" xfId="0" applyFont="1" applyFill="1" applyBorder="1" applyAlignment="1" applyProtection="1">
      <alignment horizontal="center" vertical="center"/>
      <protection locked="0" hidden="1"/>
    </xf>
    <xf numFmtId="2" fontId="34" fillId="10" borderId="73" xfId="0" applyNumberFormat="1" applyFont="1" applyFill="1" applyBorder="1" applyAlignment="1" applyProtection="1">
      <alignment horizontal="center"/>
      <protection hidden="1"/>
    </xf>
    <xf numFmtId="0" fontId="32" fillId="7" borderId="30" xfId="0" applyFont="1" applyFill="1" applyBorder="1" applyAlignment="1" applyProtection="1">
      <alignment horizontal="center" vertical="center"/>
      <protection hidden="1"/>
    </xf>
    <xf numFmtId="0" fontId="32" fillId="7" borderId="33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 vertical="center"/>
      <protection hidden="1"/>
    </xf>
    <xf numFmtId="0" fontId="29" fillId="10" borderId="30" xfId="0" applyFont="1" applyFill="1" applyBorder="1" applyAlignment="1" applyProtection="1">
      <alignment horizontal="center"/>
      <protection hidden="1"/>
    </xf>
    <xf numFmtId="0" fontId="29" fillId="10" borderId="33" xfId="0" applyFont="1" applyFill="1" applyBorder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28" fillId="6" borderId="0" xfId="0" applyFont="1" applyFill="1" applyAlignment="1" applyProtection="1">
      <alignment horizontal="center"/>
      <protection hidden="1"/>
    </xf>
    <xf numFmtId="0" fontId="22" fillId="6" borderId="0" xfId="0" applyFont="1" applyFill="1" applyProtection="1">
      <protection hidden="1"/>
    </xf>
    <xf numFmtId="0" fontId="1" fillId="7" borderId="0" xfId="0" applyFont="1" applyFill="1" applyAlignment="1" applyProtection="1">
      <alignment horizontal="right"/>
      <protection hidden="1"/>
    </xf>
    <xf numFmtId="0" fontId="1" fillId="7" borderId="34" xfId="0" applyFont="1" applyFill="1" applyBorder="1" applyAlignment="1" applyProtection="1">
      <alignment horizontal="right"/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7" borderId="29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1" fillId="12" borderId="0" xfId="0" applyFont="1" applyFill="1" applyAlignment="1">
      <alignment horizontal="left" vertical="center"/>
    </xf>
    <xf numFmtId="2" fontId="42" fillId="17" borderId="55" xfId="0" applyNumberFormat="1" applyFont="1" applyFill="1" applyBorder="1" applyAlignment="1">
      <alignment horizontal="center" vertical="center"/>
    </xf>
    <xf numFmtId="2" fontId="42" fillId="17" borderId="56" xfId="0" applyNumberFormat="1" applyFont="1" applyFill="1" applyBorder="1" applyAlignment="1">
      <alignment horizontal="center" vertical="center"/>
    </xf>
    <xf numFmtId="0" fontId="42" fillId="0" borderId="57" xfId="0" applyFont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horizontal="center" vertical="center"/>
      <protection hidden="1"/>
    </xf>
    <xf numFmtId="0" fontId="42" fillId="0" borderId="59" xfId="0" applyFont="1" applyBorder="1" applyAlignment="1" applyProtection="1">
      <alignment horizontal="center" vertical="center"/>
      <protection hidden="1"/>
    </xf>
    <xf numFmtId="0" fontId="34" fillId="0" borderId="60" xfId="0" applyFont="1" applyBorder="1" applyAlignment="1" applyProtection="1">
      <alignment horizontal="center"/>
      <protection hidden="1"/>
    </xf>
    <xf numFmtId="0" fontId="34" fillId="0" borderId="61" xfId="0" applyFont="1" applyBorder="1" applyAlignment="1" applyProtection="1">
      <alignment horizontal="center"/>
      <protection hidden="1"/>
    </xf>
    <xf numFmtId="0" fontId="34" fillId="0" borderId="62" xfId="0" applyFont="1" applyBorder="1" applyAlignment="1" applyProtection="1">
      <alignment horizontal="center"/>
      <protection hidden="1"/>
    </xf>
    <xf numFmtId="2" fontId="46" fillId="19" borderId="35" xfId="0" applyNumberFormat="1" applyFont="1" applyFill="1" applyBorder="1" applyAlignment="1">
      <alignment horizontal="center" vertical="center"/>
    </xf>
    <xf numFmtId="0" fontId="46" fillId="19" borderId="37" xfId="0" applyFont="1" applyFill="1" applyBorder="1" applyAlignment="1">
      <alignment horizontal="center" vertical="center"/>
    </xf>
    <xf numFmtId="0" fontId="46" fillId="19" borderId="40" xfId="0" applyFont="1" applyFill="1" applyBorder="1" applyAlignment="1">
      <alignment horizontal="center" vertical="center"/>
    </xf>
    <xf numFmtId="0" fontId="46" fillId="19" borderId="42" xfId="0" applyFont="1" applyFill="1" applyBorder="1" applyAlignment="1">
      <alignment horizontal="center" vertical="center"/>
    </xf>
    <xf numFmtId="2" fontId="42" fillId="13" borderId="55" xfId="0" applyNumberFormat="1" applyFont="1" applyFill="1" applyBorder="1" applyAlignment="1">
      <alignment horizontal="center" vertical="center"/>
    </xf>
    <xf numFmtId="2" fontId="42" fillId="13" borderId="56" xfId="0" applyNumberFormat="1" applyFont="1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 wrapText="1"/>
    </xf>
    <xf numFmtId="0" fontId="0" fillId="21" borderId="45" xfId="0" applyFill="1" applyBorder="1" applyAlignment="1">
      <alignment horizontal="center" vertical="center" wrapText="1"/>
    </xf>
    <xf numFmtId="0" fontId="0" fillId="21" borderId="11" xfId="0" applyFill="1" applyBorder="1" applyAlignment="1">
      <alignment horizontal="center" vertical="center" wrapText="1"/>
    </xf>
    <xf numFmtId="0" fontId="44" fillId="6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>
      <alignment horizontal="center" vertical="center"/>
    </xf>
    <xf numFmtId="0" fontId="0" fillId="21" borderId="43" xfId="0" applyFill="1" applyBorder="1" applyAlignment="1">
      <alignment horizontal="center" wrapText="1"/>
    </xf>
    <xf numFmtId="0" fontId="0" fillId="21" borderId="68" xfId="0" applyFill="1" applyBorder="1" applyAlignment="1">
      <alignment horizontal="center" wrapText="1"/>
    </xf>
    <xf numFmtId="0" fontId="0" fillId="21" borderId="0" xfId="0" applyFill="1" applyAlignment="1">
      <alignment horizontal="center" vertical="center" wrapText="1"/>
    </xf>
    <xf numFmtId="14" fontId="0" fillId="12" borderId="0" xfId="0" applyNumberFormat="1" applyFill="1" applyAlignment="1">
      <alignment horizontal="center"/>
    </xf>
    <xf numFmtId="0" fontId="34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</cellXfs>
  <cellStyles count="3">
    <cellStyle name="Euro" xfId="1" xr:uid="{8CA87A4E-15C9-4143-8739-7560ED94D2F1}"/>
    <cellStyle name="Monétaire" xfId="2" builtinId="4"/>
    <cellStyle name="Normal" xfId="0" builtinId="0"/>
  </cellStyles>
  <dxfs count="19">
    <dxf>
      <font>
        <color theme="1"/>
      </font>
      <fill>
        <patternFill patternType="solid">
          <f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</dxf>
    <dxf>
      <font>
        <color rgb="FFFF0000"/>
      </font>
    </dxf>
    <dxf>
      <fill>
        <patternFill>
          <bgColor theme="9" tint="0.7999816888943144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ont>
        <color theme="1"/>
      </font>
    </dxf>
    <dxf>
      <fill>
        <patternFill>
          <bgColor theme="6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color theme="1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FED7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9999FF"/>
      <rgbColor rgb="00993366"/>
      <rgbColor rgb="00FFFED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AB7D"/>
      <rgbColor rgb="00FFFF99"/>
      <rgbColor rgb="0099CCFF"/>
      <rgbColor rgb="00E1FFFF"/>
      <rgbColor rgb="00CC99FF"/>
      <rgbColor rgb="00FFCC99"/>
      <rgbColor rgb="003366FF"/>
      <rgbColor rgb="0033CCCC"/>
      <rgbColor rgb="0099CC00"/>
      <rgbColor rgb="00FFCC00"/>
      <rgbColor rgb="00010000"/>
      <rgbColor rgb="00FF6600"/>
      <rgbColor rgb="00666699"/>
      <rgbColor rgb="005F5F5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FFFF9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checked="Checked" lockText="1"/>
</file>

<file path=xl/ctrlProps/ctrlProp11.xml><?xml version="1.0" encoding="utf-8"?>
<formControlPr xmlns="http://schemas.microsoft.com/office/spreadsheetml/2009/9/main" objectType="Radio" lockText="1"/>
</file>

<file path=xl/ctrlProps/ctrlProp12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Radio" checked="Checked" firstButton="1" fmlaLink="$AC$17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CheckBox" checked="Checked" fmlaLink="$AC$20" lockText="1"/>
</file>

<file path=xl/ctrlProps/ctrlProp17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Radio" checked="Checked" firstButton="1" fmlaLink="$AC$22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Radio" firstButton="1" fmlaLink="$AC$15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13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hyperlink" Target="#acv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9.png"/><Relationship Id="rId5" Type="http://schemas.openxmlformats.org/officeDocument/2006/relationships/image" Target="../media/image6.emf"/><Relationship Id="rId10" Type="http://schemas.openxmlformats.org/officeDocument/2006/relationships/hyperlink" Target="mailto:commerce@sac-guiraud.fr?subject=demande%20dimensionnement%20plancher%20" TargetMode="External"/><Relationship Id="rId4" Type="http://schemas.openxmlformats.org/officeDocument/2006/relationships/image" Target="../media/image5.png"/><Relationship Id="rId9" Type="http://schemas.openxmlformats.org/officeDocument/2006/relationships/hyperlink" Target="#descriptif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jpe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IM!A1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ac-gf.fr/nos-produits/planchers-poutrelles/seacoustic/seacoustic-3" TargetMode="External"/><Relationship Id="rId13" Type="http://schemas.openxmlformats.org/officeDocument/2006/relationships/image" Target="../media/image16.png"/><Relationship Id="rId18" Type="http://schemas.openxmlformats.org/officeDocument/2006/relationships/hyperlink" Target="https://www.seac-gf.fr/nos-produits/planchers-poutrelles/seacbois" TargetMode="External"/><Relationship Id="rId3" Type="http://schemas.microsoft.com/office/2007/relationships/hdphoto" Target="../media/hdphoto1.wdp"/><Relationship Id="rId7" Type="http://schemas.openxmlformats.org/officeDocument/2006/relationships/image" Target="../media/image14.png"/><Relationship Id="rId12" Type="http://schemas.openxmlformats.org/officeDocument/2006/relationships/hyperlink" Target="https://www.seac-gf.fr/nos-produits/planchers-poutrelles/plastivs" TargetMode="External"/><Relationship Id="rId17" Type="http://schemas.openxmlformats.org/officeDocument/2006/relationships/image" Target="../media/image18.png"/><Relationship Id="rId2" Type="http://schemas.openxmlformats.org/officeDocument/2006/relationships/image" Target="../media/image12.png"/><Relationship Id="rId16" Type="http://schemas.openxmlformats.org/officeDocument/2006/relationships/hyperlink" Target="https://www.seac-gf.fr/nos-produits/planchers-poutrelles/plancher-isolant" TargetMode="External"/><Relationship Id="rId20" Type="http://schemas.microsoft.com/office/2007/relationships/hdphoto" Target="../media/hdphoto3.wdp"/><Relationship Id="rId1" Type="http://schemas.openxmlformats.org/officeDocument/2006/relationships/hyperlink" Target="https://www.seac-gf.fr/nos-produits/structure-precontrainte/seacisol" TargetMode="External"/><Relationship Id="rId6" Type="http://schemas.openxmlformats.org/officeDocument/2006/relationships/image" Target="../media/image13.png"/><Relationship Id="rId11" Type="http://schemas.openxmlformats.org/officeDocument/2006/relationships/image" Target="../media/image10.png"/><Relationship Id="rId5" Type="http://schemas.openxmlformats.org/officeDocument/2006/relationships/hyperlink" Target="https://www.seac-gf.fr/nos-produits/structure-precontrainte/predal-seacoustic" TargetMode="External"/><Relationship Id="rId15" Type="http://schemas.openxmlformats.org/officeDocument/2006/relationships/image" Target="../media/image17.png"/><Relationship Id="rId10" Type="http://schemas.microsoft.com/office/2007/relationships/hdphoto" Target="../media/hdphoto2.wdp"/><Relationship Id="rId19" Type="http://schemas.openxmlformats.org/officeDocument/2006/relationships/image" Target="../media/image19.png"/><Relationship Id="rId4" Type="http://schemas.openxmlformats.org/officeDocument/2006/relationships/hyperlink" Target="#DIM!A1"/><Relationship Id="rId9" Type="http://schemas.openxmlformats.org/officeDocument/2006/relationships/image" Target="../media/image15.png"/><Relationship Id="rId14" Type="http://schemas.openxmlformats.org/officeDocument/2006/relationships/hyperlink" Target="https://www.seac-gf.fr/nos-produits/planchers-poutrelles/entrevous-bois-seac/ebsdalle-flottant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DIM!A1"/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638175</xdr:colOff>
          <xdr:row>21</xdr:row>
          <xdr:rowOff>0</xdr:rowOff>
        </xdr:from>
        <xdr:to>
          <xdr:col>14</xdr:col>
          <xdr:colOff>95250</xdr:colOff>
          <xdr:row>22</xdr:row>
          <xdr:rowOff>85725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34278</xdr:colOff>
      <xdr:row>9</xdr:row>
      <xdr:rowOff>86819</xdr:rowOff>
    </xdr:from>
    <xdr:to>
      <xdr:col>8</xdr:col>
      <xdr:colOff>758178</xdr:colOff>
      <xdr:row>13</xdr:row>
      <xdr:rowOff>127073</xdr:rowOff>
    </xdr:to>
    <xdr:pic>
      <xdr:nvPicPr>
        <xdr:cNvPr id="2444" name="Image 1">
          <a:extLst>
            <a:ext uri="{FF2B5EF4-FFF2-40B4-BE49-F238E27FC236}">
              <a16:creationId xmlns:a16="http://schemas.microsoft.com/office/drawing/2014/main" id="{9A660F02-1E66-FFD7-EA79-A0DA3976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726" y="1663371"/>
          <a:ext cx="723900" cy="57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112778</xdr:colOff>
      <xdr:row>9</xdr:row>
      <xdr:rowOff>64077</xdr:rowOff>
    </xdr:from>
    <xdr:to>
      <xdr:col>9</xdr:col>
      <xdr:colOff>823690</xdr:colOff>
      <xdr:row>13</xdr:row>
      <xdr:rowOff>150669</xdr:rowOff>
    </xdr:to>
    <xdr:pic>
      <xdr:nvPicPr>
        <xdr:cNvPr id="2446" name="Image 2">
          <a:extLst>
            <a:ext uri="{FF2B5EF4-FFF2-40B4-BE49-F238E27FC236}">
              <a16:creationId xmlns:a16="http://schemas.microsoft.com/office/drawing/2014/main" id="{9F20AFFE-076A-DF6D-DAC1-00D02509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23" y="1640629"/>
          <a:ext cx="710912" cy="625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638175</xdr:colOff>
          <xdr:row>21</xdr:row>
          <xdr:rowOff>0</xdr:rowOff>
        </xdr:from>
        <xdr:to>
          <xdr:col>12</xdr:col>
          <xdr:colOff>95250</xdr:colOff>
          <xdr:row>22</xdr:row>
          <xdr:rowOff>85725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7</xdr:col>
      <xdr:colOff>93160</xdr:colOff>
      <xdr:row>9</xdr:row>
      <xdr:rowOff>70837</xdr:rowOff>
    </xdr:from>
    <xdr:to>
      <xdr:col>7</xdr:col>
      <xdr:colOff>845635</xdr:colOff>
      <xdr:row>13</xdr:row>
      <xdr:rowOff>144310</xdr:rowOff>
    </xdr:to>
    <xdr:pic>
      <xdr:nvPicPr>
        <xdr:cNvPr id="2448" name="Image 1">
          <a:extLst>
            <a:ext uri="{FF2B5EF4-FFF2-40B4-BE49-F238E27FC236}">
              <a16:creationId xmlns:a16="http://schemas.microsoft.com/office/drawing/2014/main" id="{BC356867-6519-71F9-B518-76C41DF4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832" y="1647389"/>
          <a:ext cx="752475" cy="61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87456</xdr:colOff>
      <xdr:row>9</xdr:row>
      <xdr:rowOff>87397</xdr:rowOff>
    </xdr:from>
    <xdr:to>
      <xdr:col>11</xdr:col>
      <xdr:colOff>649432</xdr:colOff>
      <xdr:row>13</xdr:row>
      <xdr:rowOff>146701</xdr:rowOff>
    </xdr:to>
    <xdr:pic>
      <xdr:nvPicPr>
        <xdr:cNvPr id="2449" name="Image 2">
          <a:extLst>
            <a:ext uri="{FF2B5EF4-FFF2-40B4-BE49-F238E27FC236}">
              <a16:creationId xmlns:a16="http://schemas.microsoft.com/office/drawing/2014/main" id="{7F522B4F-9B23-44C1-60D7-20B2536C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680" y="1663949"/>
          <a:ext cx="837873" cy="597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69357</xdr:colOff>
          <xdr:row>15</xdr:row>
          <xdr:rowOff>129897</xdr:rowOff>
        </xdr:from>
        <xdr:to>
          <xdr:col>19</xdr:col>
          <xdr:colOff>25196</xdr:colOff>
          <xdr:row>17</xdr:row>
          <xdr:rowOff>54559</xdr:rowOff>
        </xdr:to>
        <xdr:grpSp>
          <xdr:nvGrpSpPr>
            <xdr:cNvPr id="6" name="Groupe 5">
              <a:extLst>
                <a:ext uri="{FF2B5EF4-FFF2-40B4-BE49-F238E27FC236}">
                  <a16:creationId xmlns:a16="http://schemas.microsoft.com/office/drawing/2014/main" id="{BF23F473-FCA8-8B2E-E450-13EB3C0AD6BA}"/>
                </a:ext>
              </a:extLst>
            </xdr:cNvPr>
            <xdr:cNvGrpSpPr/>
          </xdr:nvGrpSpPr>
          <xdr:grpSpPr>
            <a:xfrm>
              <a:off x="12251832" y="2596872"/>
              <a:ext cx="1184564" cy="248512"/>
              <a:chOff x="9216810" y="3526821"/>
              <a:chExt cx="1415761" cy="329042"/>
            </a:xfrm>
          </xdr:grpSpPr>
          <xdr:sp macro="" textlink="">
            <xdr:nvSpPr>
              <xdr:cNvPr id="2107" name="Group Box 59" hidden="1">
                <a:extLst>
                  <a:ext uri="{63B3BB69-23CF-44E3-9099-C40C66FF867C}">
                    <a14:compatExt spid="_x0000_s2107"/>
                  </a:ext>
                  <a:ext uri="{FF2B5EF4-FFF2-40B4-BE49-F238E27FC236}">
                    <a16:creationId xmlns:a16="http://schemas.microsoft.com/office/drawing/2014/main" id="{00000000-0008-0000-0000-00003B080000}"/>
                  </a:ext>
                </a:extLst>
              </xdr:cNvPr>
              <xdr:cNvSpPr/>
            </xdr:nvSpPr>
            <xdr:spPr bwMode="auto">
              <a:xfrm>
                <a:off x="9216810" y="3526821"/>
                <a:ext cx="1415761" cy="32904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grpSp>
            <xdr:nvGrpSpPr>
              <xdr:cNvPr id="2451" name="Groupe 10">
                <a:extLst>
                  <a:ext uri="{FF2B5EF4-FFF2-40B4-BE49-F238E27FC236}">
                    <a16:creationId xmlns:a16="http://schemas.microsoft.com/office/drawing/2014/main" id="{D8E0A884-F65F-D50A-2CDA-6C52D1BA1CE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388454" y="3593581"/>
                <a:ext cx="1130008" cy="221645"/>
                <a:chOff x="9387412" y="3575374"/>
                <a:chExt cx="1136758" cy="224450"/>
              </a:xfrm>
            </xdr:grpSpPr>
            <xdr:sp macro="" textlink="">
              <xdr:nvSpPr>
                <xdr:cNvPr id="2396" name="Option Button 348" hidden="1">
                  <a:extLst>
                    <a:ext uri="{63B3BB69-23CF-44E3-9099-C40C66FF867C}">
                      <a14:compatExt spid="_x0000_s2396"/>
                    </a:ext>
                    <a:ext uri="{FF2B5EF4-FFF2-40B4-BE49-F238E27FC236}">
                      <a16:creationId xmlns:a16="http://schemas.microsoft.com/office/drawing/2014/main" id="{00000000-0008-0000-0000-00005C090000}"/>
                    </a:ext>
                  </a:extLst>
                </xdr:cNvPr>
                <xdr:cNvSpPr/>
              </xdr:nvSpPr>
              <xdr:spPr bwMode="auto">
                <a:xfrm>
                  <a:off x="9387412" y="3580741"/>
                  <a:ext cx="304801" cy="21908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398" name="Option Button 350" hidden="1">
                  <a:extLst>
                    <a:ext uri="{63B3BB69-23CF-44E3-9099-C40C66FF867C}">
                      <a14:compatExt spid="_x0000_s2398"/>
                    </a:ext>
                    <a:ext uri="{FF2B5EF4-FFF2-40B4-BE49-F238E27FC236}">
                      <a16:creationId xmlns:a16="http://schemas.microsoft.com/office/drawing/2014/main" id="{00000000-0008-0000-0000-00005E090000}"/>
                    </a:ext>
                  </a:extLst>
                </xdr:cNvPr>
                <xdr:cNvSpPr/>
              </xdr:nvSpPr>
              <xdr:spPr bwMode="auto">
                <a:xfrm>
                  <a:off x="10219368" y="3575374"/>
                  <a:ext cx="304802" cy="21328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229832</xdr:colOff>
          <xdr:row>26</xdr:row>
          <xdr:rowOff>17989</xdr:rowOff>
        </xdr:from>
        <xdr:to>
          <xdr:col>11</xdr:col>
          <xdr:colOff>520964</xdr:colOff>
          <xdr:row>35</xdr:row>
          <xdr:rowOff>202817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4930CDA7-0FB7-9822-0C72-4CD504ACBE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" spid="_x0000_s1351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918249" y="4579406"/>
              <a:ext cx="3296798" cy="2036911"/>
            </a:xfrm>
            <a:prstGeom prst="rect">
              <a:avLst/>
            </a:prstGeom>
            <a:noFill/>
            <a:effectLst>
              <a:outerShdw blurRad="889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7</xdr:row>
          <xdr:rowOff>142875</xdr:rowOff>
        </xdr:from>
        <xdr:to>
          <xdr:col>12</xdr:col>
          <xdr:colOff>142875</xdr:colOff>
          <xdr:row>24</xdr:row>
          <xdr:rowOff>95250</xdr:rowOff>
        </xdr:to>
        <xdr:sp macro="" textlink="">
          <xdr:nvSpPr>
            <xdr:cNvPr id="2279" name="Group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304800</xdr:colOff>
          <xdr:row>13</xdr:row>
          <xdr:rowOff>161925</xdr:rowOff>
        </xdr:from>
        <xdr:to>
          <xdr:col>7</xdr:col>
          <xdr:colOff>609600</xdr:colOff>
          <xdr:row>14</xdr:row>
          <xdr:rowOff>152400</xdr:rowOff>
        </xdr:to>
        <xdr:sp macro="" textlink="">
          <xdr:nvSpPr>
            <xdr:cNvPr id="2275" name="Option Button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257175</xdr:colOff>
          <xdr:row>13</xdr:row>
          <xdr:rowOff>152400</xdr:rowOff>
        </xdr:from>
        <xdr:to>
          <xdr:col>8</xdr:col>
          <xdr:colOff>561975</xdr:colOff>
          <xdr:row>14</xdr:row>
          <xdr:rowOff>152400</xdr:rowOff>
        </xdr:to>
        <xdr:sp macro="" textlink="">
          <xdr:nvSpPr>
            <xdr:cNvPr id="2276" name="Option Butto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371475</xdr:colOff>
          <xdr:row>13</xdr:row>
          <xdr:rowOff>152400</xdr:rowOff>
        </xdr:from>
        <xdr:to>
          <xdr:col>9</xdr:col>
          <xdr:colOff>676275</xdr:colOff>
          <xdr:row>14</xdr:row>
          <xdr:rowOff>152400</xdr:rowOff>
        </xdr:to>
        <xdr:sp macro="" textlink="">
          <xdr:nvSpPr>
            <xdr:cNvPr id="2277" name="Option Butto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152400</xdr:colOff>
          <xdr:row>13</xdr:row>
          <xdr:rowOff>152400</xdr:rowOff>
        </xdr:from>
        <xdr:to>
          <xdr:col>11</xdr:col>
          <xdr:colOff>447675</xdr:colOff>
          <xdr:row>14</xdr:row>
          <xdr:rowOff>152400</xdr:rowOff>
        </xdr:to>
        <xdr:sp macro="" textlink="">
          <xdr:nvSpPr>
            <xdr:cNvPr id="2278" name="Option Butto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238125</xdr:colOff>
          <xdr:row>22</xdr:row>
          <xdr:rowOff>57150</xdr:rowOff>
        </xdr:from>
        <xdr:to>
          <xdr:col>7</xdr:col>
          <xdr:colOff>542925</xdr:colOff>
          <xdr:row>23</xdr:row>
          <xdr:rowOff>133350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371475</xdr:colOff>
          <xdr:row>22</xdr:row>
          <xdr:rowOff>28575</xdr:rowOff>
        </xdr:from>
        <xdr:to>
          <xdr:col>8</xdr:col>
          <xdr:colOff>666750</xdr:colOff>
          <xdr:row>23</xdr:row>
          <xdr:rowOff>95250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52916</xdr:colOff>
      <xdr:row>19</xdr:row>
      <xdr:rowOff>63789</xdr:rowOff>
    </xdr:from>
    <xdr:to>
      <xdr:col>8</xdr:col>
      <xdr:colOff>799617</xdr:colOff>
      <xdr:row>22</xdr:row>
      <xdr:rowOff>34126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CB54A32-0D59-B22A-66B7-284995AC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25583" y="3196456"/>
          <a:ext cx="746701" cy="58417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7</xdr:col>
      <xdr:colOff>48394</xdr:colOff>
      <xdr:row>19</xdr:row>
      <xdr:rowOff>74179</xdr:rowOff>
    </xdr:from>
    <xdr:to>
      <xdr:col>7</xdr:col>
      <xdr:colOff>772294</xdr:colOff>
      <xdr:row>22</xdr:row>
      <xdr:rowOff>45003</xdr:rowOff>
    </xdr:to>
    <xdr:pic>
      <xdr:nvPicPr>
        <xdr:cNvPr id="9" name="Image 1">
          <a:extLst>
            <a:ext uri="{FF2B5EF4-FFF2-40B4-BE49-F238E27FC236}">
              <a16:creationId xmlns:a16="http://schemas.microsoft.com/office/drawing/2014/main" id="{92FF30E1-4C51-4B22-90C8-4E750647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811" y="3206846"/>
          <a:ext cx="723900" cy="58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173817</xdr:colOff>
      <xdr:row>14</xdr:row>
      <xdr:rowOff>87262</xdr:rowOff>
    </xdr:from>
    <xdr:ext cx="96661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67DF654E-3D4A-022E-8EA3-B2EA669E2797}"/>
            </a:ext>
          </a:extLst>
        </xdr:cNvPr>
        <xdr:cNvSpPr txBox="1"/>
      </xdr:nvSpPr>
      <xdr:spPr>
        <a:xfrm>
          <a:off x="9968392" y="3834361"/>
          <a:ext cx="9666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AL                1c</a:t>
          </a:r>
        </a:p>
      </xdr:txBody>
    </xdr:sp>
    <xdr:clientData/>
  </xdr:oneCellAnchor>
  <xdr:twoCellAnchor>
    <xdr:from>
      <xdr:col>17</xdr:col>
      <xdr:colOff>46255</xdr:colOff>
      <xdr:row>19</xdr:row>
      <xdr:rowOff>72542</xdr:rowOff>
    </xdr:from>
    <xdr:to>
      <xdr:col>19</xdr:col>
      <xdr:colOff>104209</xdr:colOff>
      <xdr:row>21</xdr:row>
      <xdr:rowOff>88878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2E350972-639D-2B4C-5E5B-2AE137D65F42}"/>
            </a:ext>
          </a:extLst>
        </xdr:cNvPr>
        <xdr:cNvGrpSpPr/>
      </xdr:nvGrpSpPr>
      <xdr:grpSpPr>
        <a:xfrm>
          <a:off x="12228730" y="3244367"/>
          <a:ext cx="1286679" cy="425911"/>
          <a:chOff x="9730256" y="3785696"/>
          <a:chExt cx="1075053" cy="426470"/>
        </a:xfrm>
      </xdr:grpSpPr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E252F6DA-B59D-437C-BF08-1DD5142C3059}"/>
              </a:ext>
            </a:extLst>
          </xdr:cNvPr>
          <xdr:cNvSpPr txBox="1"/>
        </xdr:nvSpPr>
        <xdr:spPr>
          <a:xfrm>
            <a:off x="9730256" y="3785696"/>
            <a:ext cx="1075053" cy="268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100"/>
              <a:t>simple        jumelée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5" name="Groupe 4">
                <a:extLst>
                  <a:ext uri="{FF2B5EF4-FFF2-40B4-BE49-F238E27FC236}">
                    <a16:creationId xmlns:a16="http://schemas.microsoft.com/office/drawing/2014/main" id="{6B666FC7-FEDC-F315-96F6-41DFD8806B7F}"/>
                  </a:ext>
                </a:extLst>
              </xdr:cNvPr>
              <xdr:cNvGrpSpPr/>
            </xdr:nvGrpSpPr>
            <xdr:grpSpPr>
              <a:xfrm>
                <a:off x="9897525" y="3947580"/>
                <a:ext cx="902755" cy="264586"/>
                <a:chOff x="9897525" y="3947580"/>
                <a:chExt cx="902755" cy="264586"/>
              </a:xfrm>
            </xdr:grpSpPr>
            <xdr:sp macro="" textlink="">
              <xdr:nvSpPr>
                <xdr:cNvPr id="2575" name="Option Button 527" descr="NON" hidden="1">
                  <a:extLst>
                    <a:ext uri="{63B3BB69-23CF-44E3-9099-C40C66FF867C}">
                      <a14:compatExt spid="_x0000_s2575"/>
                    </a:ext>
                    <a:ext uri="{FF2B5EF4-FFF2-40B4-BE49-F238E27FC236}">
                      <a16:creationId xmlns:a16="http://schemas.microsoft.com/office/drawing/2014/main" id="{00000000-0008-0000-0000-00000F0A0000}"/>
                    </a:ext>
                  </a:extLst>
                </xdr:cNvPr>
                <xdr:cNvSpPr/>
              </xdr:nvSpPr>
              <xdr:spPr bwMode="auto">
                <a:xfrm>
                  <a:off x="9897525" y="3948644"/>
                  <a:ext cx="325961" cy="263522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582" name="Option Button 534" descr="NON" hidden="1">
                  <a:extLst>
                    <a:ext uri="{63B3BB69-23CF-44E3-9099-C40C66FF867C}">
                      <a14:compatExt spid="_x0000_s2582"/>
                    </a:ext>
                    <a:ext uri="{FF2B5EF4-FFF2-40B4-BE49-F238E27FC236}">
                      <a16:creationId xmlns:a16="http://schemas.microsoft.com/office/drawing/2014/main" id="{00000000-0008-0000-0000-0000160A0000}"/>
                    </a:ext>
                  </a:extLst>
                </xdr:cNvPr>
                <xdr:cNvSpPr/>
              </xdr:nvSpPr>
              <xdr:spPr bwMode="auto">
                <a:xfrm>
                  <a:off x="10476430" y="3947580"/>
                  <a:ext cx="323850" cy="258222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mc:Choice>
        <mc:Fallback/>
      </mc:AlternateContent>
    </xdr:grpSp>
    <xdr:clientData/>
  </xdr:twoCellAnchor>
  <xdr:oneCellAnchor>
    <xdr:from>
      <xdr:col>8</xdr:col>
      <xdr:colOff>818898</xdr:colOff>
      <xdr:row>1</xdr:row>
      <xdr:rowOff>115265</xdr:rowOff>
    </xdr:from>
    <xdr:ext cx="6219844" cy="468013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F61294F-BE53-C632-A05A-C1BC0A4915F9}"/>
            </a:ext>
          </a:extLst>
        </xdr:cNvPr>
        <xdr:cNvSpPr/>
      </xdr:nvSpPr>
      <xdr:spPr>
        <a:xfrm>
          <a:off x="6491565" y="284598"/>
          <a:ext cx="6219844" cy="468013"/>
        </a:xfrm>
        <a:prstGeom prst="rect">
          <a:avLst/>
        </a:prstGeom>
        <a:solidFill>
          <a:srgbClr val="00B050"/>
        </a:solidFill>
        <a:ln w="38100" cmpd="dbl">
          <a:solidFill>
            <a:schemeClr val="tx1"/>
          </a:solidFill>
        </a:ln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PREDIMENSIONNEMENT</a:t>
          </a:r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DES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PLANCHERS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SEAC</a:t>
          </a:r>
          <a:endParaRPr lang="fr-FR" sz="2400" b="0" cap="none" spc="0">
            <a:ln w="0"/>
            <a:solidFill>
              <a:srgbClr val="FFFFFF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</xdr:txBody>
    </xdr:sp>
    <xdr:clientData/>
  </xdr:oneCellAnchor>
  <xdr:twoCellAnchor editAs="oneCell">
    <xdr:from>
      <xdr:col>6</xdr:col>
      <xdr:colOff>188703</xdr:colOff>
      <xdr:row>1</xdr:row>
      <xdr:rowOff>98844</xdr:rowOff>
    </xdr:from>
    <xdr:to>
      <xdr:col>7</xdr:col>
      <xdr:colOff>918425</xdr:colOff>
      <xdr:row>4</xdr:row>
      <xdr:rowOff>131250</xdr:rowOff>
    </xdr:to>
    <xdr:pic>
      <xdr:nvPicPr>
        <xdr:cNvPr id="12" name="Image 2">
          <a:extLst>
            <a:ext uri="{FF2B5EF4-FFF2-40B4-BE49-F238E27FC236}">
              <a16:creationId xmlns:a16="http://schemas.microsoft.com/office/drawing/2014/main" id="{468BAA9F-5EF9-4FE8-8254-75D4F70AF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297" y="1725283"/>
          <a:ext cx="1493520" cy="52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</xdr:col>
      <xdr:colOff>714375</xdr:colOff>
      <xdr:row>2</xdr:row>
      <xdr:rowOff>19050</xdr:rowOff>
    </xdr:from>
    <xdr:ext cx="572786" cy="342786"/>
    <xdr:sp macro="" textlink="">
      <xdr:nvSpPr>
        <xdr:cNvPr id="8" name="ZoneText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53C3F26-A260-4581-84AE-3A10F057D88E}"/>
            </a:ext>
          </a:extLst>
        </xdr:cNvPr>
        <xdr:cNvSpPr txBox="1"/>
      </xdr:nvSpPr>
      <xdr:spPr>
        <a:xfrm>
          <a:off x="11725275" y="1819275"/>
          <a:ext cx="57278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Aide</a:t>
          </a:r>
          <a:endParaRPr lang="fr-FR" sz="1600" b="1"/>
        </a:p>
      </xdr:txBody>
    </xdr:sp>
    <xdr:clientData/>
  </xdr:oneCellAnchor>
  <xdr:oneCellAnchor>
    <xdr:from>
      <xdr:col>7</xdr:col>
      <xdr:colOff>642937</xdr:colOff>
      <xdr:row>37</xdr:row>
      <xdr:rowOff>59530</xdr:rowOff>
    </xdr:from>
    <xdr:ext cx="2333625" cy="369095"/>
    <xdr:sp macro="" textlink="">
      <xdr:nvSpPr>
        <xdr:cNvPr id="16" name="ZoneTexte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53AD02-27AF-4EE1-B268-916931A6DEA8}"/>
            </a:ext>
          </a:extLst>
        </xdr:cNvPr>
        <xdr:cNvSpPr txBox="1"/>
      </xdr:nvSpPr>
      <xdr:spPr>
        <a:xfrm>
          <a:off x="1524000" y="6965155"/>
          <a:ext cx="2333625" cy="36909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00" b="1" baseline="0"/>
            <a:t>Descriptifs, info produits</a:t>
          </a:r>
          <a:endParaRPr lang="fr-FR" sz="1600" b="1"/>
        </a:p>
      </xdr:txBody>
    </xdr:sp>
    <xdr:clientData/>
  </xdr:oneCellAnchor>
  <xdr:oneCellAnchor>
    <xdr:from>
      <xdr:col>7</xdr:col>
      <xdr:colOff>193409</xdr:colOff>
      <xdr:row>40</xdr:row>
      <xdr:rowOff>152398</xdr:rowOff>
    </xdr:from>
    <xdr:ext cx="3145632" cy="621508"/>
    <xdr:sp macro="" textlink="">
      <xdr:nvSpPr>
        <xdr:cNvPr id="14" name="ZoneText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8D5AB26-F919-41C5-A038-9B76D5020981}"/>
            </a:ext>
          </a:extLst>
        </xdr:cNvPr>
        <xdr:cNvSpPr txBox="1"/>
      </xdr:nvSpPr>
      <xdr:spPr>
        <a:xfrm>
          <a:off x="4881826" y="7444315"/>
          <a:ext cx="3145632" cy="62150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fr-FR" sz="1600" b="1" baseline="0"/>
            <a:t>demande de dimensionnement    </a:t>
          </a:r>
          <a:r>
            <a:rPr lang="fr-FR" sz="1600" b="1" baseline="0">
              <a:solidFill>
                <a:schemeClr val="accent3">
                  <a:lumMod val="60000"/>
                  <a:lumOff val="40000"/>
                </a:schemeClr>
              </a:solidFill>
            </a:rPr>
            <a:t>.</a:t>
          </a:r>
          <a:r>
            <a:rPr lang="fr-FR" sz="1600" b="1" baseline="0"/>
            <a:t>bet SEAC</a:t>
          </a:r>
          <a:endParaRPr lang="fr-FR" sz="1600" b="1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609600</xdr:colOff>
          <xdr:row>22</xdr:row>
          <xdr:rowOff>0</xdr:rowOff>
        </xdr:from>
        <xdr:to>
          <xdr:col>10</xdr:col>
          <xdr:colOff>19050</xdr:colOff>
          <xdr:row>23</xdr:row>
          <xdr:rowOff>66675</xdr:rowOff>
        </xdr:to>
        <xdr:sp macro="" textlink="">
          <xdr:nvSpPr>
            <xdr:cNvPr id="13381" name="Option Button 1093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0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319506</xdr:colOff>
      <xdr:row>19</xdr:row>
      <xdr:rowOff>98505</xdr:rowOff>
    </xdr:from>
    <xdr:to>
      <xdr:col>10</xdr:col>
      <xdr:colOff>168375</xdr:colOff>
      <xdr:row>22</xdr:row>
      <xdr:rowOff>45589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466992E-7F9A-CD08-F190-34EDAD50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40468" y="3271063"/>
          <a:ext cx="742753" cy="5552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29</xdr:row>
          <xdr:rowOff>47625</xdr:rowOff>
        </xdr:from>
        <xdr:to>
          <xdr:col>19</xdr:col>
          <xdr:colOff>657225</xdr:colOff>
          <xdr:row>30</xdr:row>
          <xdr:rowOff>9525</xdr:rowOff>
        </xdr:to>
        <xdr:sp macro="" textlink="">
          <xdr:nvSpPr>
            <xdr:cNvPr id="13469" name="Check Box 1181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0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666750</xdr:colOff>
      <xdr:row>29</xdr:row>
      <xdr:rowOff>121711</xdr:rowOff>
    </xdr:from>
    <xdr:to>
      <xdr:col>20</xdr:col>
      <xdr:colOff>105833</xdr:colOff>
      <xdr:row>34</xdr:row>
      <xdr:rowOff>42336</xdr:rowOff>
    </xdr:to>
    <xdr:sp macro="" textlink="">
      <xdr:nvSpPr>
        <xdr:cNvPr id="18" name="Flèche : virage 17">
          <a:extLst>
            <a:ext uri="{FF2B5EF4-FFF2-40B4-BE49-F238E27FC236}">
              <a16:creationId xmlns:a16="http://schemas.microsoft.com/office/drawing/2014/main" id="{710700A5-5F12-E316-7F52-BBEBBE441BC2}"/>
            </a:ext>
          </a:extLst>
        </xdr:cNvPr>
        <xdr:cNvSpPr/>
      </xdr:nvSpPr>
      <xdr:spPr bwMode="auto">
        <a:xfrm rot="5400000">
          <a:off x="13713354" y="5701774"/>
          <a:ext cx="968375" cy="201083"/>
        </a:xfrm>
        <a:prstGeom prst="ben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755650</xdr:colOff>
      <xdr:row>29</xdr:row>
      <xdr:rowOff>136529</xdr:rowOff>
    </xdr:from>
    <xdr:to>
      <xdr:col>15</xdr:col>
      <xdr:colOff>201084</xdr:colOff>
      <xdr:row>34</xdr:row>
      <xdr:rowOff>57154</xdr:rowOff>
    </xdr:to>
    <xdr:sp macro="" textlink="">
      <xdr:nvSpPr>
        <xdr:cNvPr id="19" name="Flèche : virage 18">
          <a:extLst>
            <a:ext uri="{FF2B5EF4-FFF2-40B4-BE49-F238E27FC236}">
              <a16:creationId xmlns:a16="http://schemas.microsoft.com/office/drawing/2014/main" id="{409C0484-8DD1-46D4-A744-08C761A51B79}"/>
            </a:ext>
          </a:extLst>
        </xdr:cNvPr>
        <xdr:cNvSpPr/>
      </xdr:nvSpPr>
      <xdr:spPr bwMode="auto">
        <a:xfrm rot="5400000" flipV="1">
          <a:off x="10281179" y="5713417"/>
          <a:ext cx="968375" cy="207434"/>
        </a:xfrm>
        <a:prstGeom prst="ben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239976</xdr:colOff>
      <xdr:row>41</xdr:row>
      <xdr:rowOff>19048</xdr:rowOff>
    </xdr:from>
    <xdr:ext cx="3145632" cy="621508"/>
    <xdr:sp macro="" textlink="">
      <xdr:nvSpPr>
        <xdr:cNvPr id="20" name="ZoneTexte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08ABA9-F02D-4DFE-A4AC-565BBC76F17D}"/>
            </a:ext>
          </a:extLst>
        </xdr:cNvPr>
        <xdr:cNvSpPr txBox="1"/>
      </xdr:nvSpPr>
      <xdr:spPr>
        <a:xfrm>
          <a:off x="10907976" y="7469715"/>
          <a:ext cx="3145632" cy="62150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600" b="1" baseline="0"/>
            <a:t>détails calculs co²</a:t>
          </a:r>
          <a:endParaRPr lang="fr-FR" sz="1600" b="1"/>
        </a:p>
      </xdr:txBody>
    </xdr:sp>
    <xdr:clientData/>
  </xdr:oneCellAnchor>
  <xdr:twoCellAnchor editAs="oneCell">
    <xdr:from>
      <xdr:col>18</xdr:col>
      <xdr:colOff>964860</xdr:colOff>
      <xdr:row>42</xdr:row>
      <xdr:rowOff>97300</xdr:rowOff>
    </xdr:from>
    <xdr:to>
      <xdr:col>19</xdr:col>
      <xdr:colOff>213043</xdr:colOff>
      <xdr:row>44</xdr:row>
      <xdr:rowOff>35422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D81F366-97E7-4852-9F80-CD02EA49B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54962">
          <a:off x="13389693" y="7706717"/>
          <a:ext cx="253600" cy="255622"/>
        </a:xfrm>
        <a:prstGeom prst="rect">
          <a:avLst/>
        </a:prstGeom>
      </xdr:spPr>
    </xdr:pic>
    <xdr:clientData/>
  </xdr:twoCellAnchor>
  <xdr:twoCellAnchor editAs="oneCell">
    <xdr:from>
      <xdr:col>9</xdr:col>
      <xdr:colOff>670117</xdr:colOff>
      <xdr:row>42</xdr:row>
      <xdr:rowOff>101836</xdr:rowOff>
    </xdr:from>
    <xdr:to>
      <xdr:col>10</xdr:col>
      <xdr:colOff>38893</xdr:colOff>
      <xdr:row>44</xdr:row>
      <xdr:rowOff>54836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24F4E37D-F070-465D-9CA7-DA01B566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235495">
          <a:off x="7189450" y="7711253"/>
          <a:ext cx="268360" cy="270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438150</xdr:colOff>
          <xdr:row>22</xdr:row>
          <xdr:rowOff>9525</xdr:rowOff>
        </xdr:from>
        <xdr:to>
          <xdr:col>10</xdr:col>
          <xdr:colOff>733425</xdr:colOff>
          <xdr:row>23</xdr:row>
          <xdr:rowOff>76200</xdr:rowOff>
        </xdr:to>
        <xdr:sp macro="" textlink="">
          <xdr:nvSpPr>
            <xdr:cNvPr id="13498" name="Option Button 1210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00000000-0008-0000-0000-0000B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35717</xdr:colOff>
      <xdr:row>9</xdr:row>
      <xdr:rowOff>47624</xdr:rowOff>
    </xdr:from>
    <xdr:to>
      <xdr:col>2</xdr:col>
      <xdr:colOff>2006202</xdr:colOff>
      <xdr:row>9</xdr:row>
      <xdr:rowOff>1240917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6A0FA44-287C-06C8-1C06-EB3BF09F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845592" y="7030640"/>
          <a:ext cx="1970485" cy="1193293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8</xdr:row>
      <xdr:rowOff>41673</xdr:rowOff>
    </xdr:from>
    <xdr:to>
      <xdr:col>2</xdr:col>
      <xdr:colOff>2024062</xdr:colOff>
      <xdr:row>8</xdr:row>
      <xdr:rowOff>1244203</xdr:rowOff>
    </xdr:to>
    <xdr:pic>
      <xdr:nvPicPr>
        <xdr:cNvPr id="8" name="Image 7" descr="Montage d'un plancher hourdis EBS (Entrevous Bois SEAC Biosourcé)">
          <a:extLst>
            <a:ext uri="{FF2B5EF4-FFF2-40B4-BE49-F238E27FC236}">
              <a16:creationId xmlns:a16="http://schemas.microsoft.com/office/drawing/2014/main" id="{06073EBA-A9D3-4FB6-851C-9CE369633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453" y="5756673"/>
          <a:ext cx="1970484" cy="12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35719</xdr:colOff>
      <xdr:row>7</xdr:row>
      <xdr:rowOff>29767</xdr:rowOff>
    </xdr:from>
    <xdr:to>
      <xdr:col>2</xdr:col>
      <xdr:colOff>2006203</xdr:colOff>
      <xdr:row>7</xdr:row>
      <xdr:rowOff>1250157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EC425F5-32BB-1EEE-EB91-D0E45CE0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5594" y="4476751"/>
          <a:ext cx="1970484" cy="122039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4</xdr:row>
      <xdr:rowOff>29765</xdr:rowOff>
    </xdr:from>
    <xdr:to>
      <xdr:col>2</xdr:col>
      <xdr:colOff>2033869</xdr:colOff>
      <xdr:row>4</xdr:row>
      <xdr:rowOff>1249135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41D88F-A8CC-AC66-F37B-2C6DD39D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3688" y="67270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2010056</xdr:colOff>
      <xdr:row>5</xdr:row>
      <xdr:rowOff>1219370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C89F7DF-B24D-D6B3-72FC-EE13FC2B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9875" y="191095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2010056</xdr:colOff>
      <xdr:row>6</xdr:row>
      <xdr:rowOff>1219370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60B45AD-0959-7CC7-1D31-319C3A74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09875" y="3178969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10</xdr:row>
      <xdr:rowOff>29766</xdr:rowOff>
    </xdr:from>
    <xdr:to>
      <xdr:col>2</xdr:col>
      <xdr:colOff>1946672</xdr:colOff>
      <xdr:row>10</xdr:row>
      <xdr:rowOff>1256073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A0D3C10-9EA6-AA30-93E2-A2127746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1" y="8280797"/>
          <a:ext cx="1899046" cy="12263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13</xdr:row>
      <xdr:rowOff>159855</xdr:rowOff>
    </xdr:from>
    <xdr:to>
      <xdr:col>4</xdr:col>
      <xdr:colOff>6211</xdr:colOff>
      <xdr:row>15</xdr:row>
      <xdr:rowOff>155002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577D62BA-A162-426A-8DAA-4B50F0DD8766}"/>
            </a:ext>
          </a:extLst>
        </xdr:cNvPr>
        <xdr:cNvSpPr/>
      </xdr:nvSpPr>
      <xdr:spPr>
        <a:xfrm>
          <a:off x="1743075" y="2607780"/>
          <a:ext cx="2225536" cy="366622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8</xdr:col>
      <xdr:colOff>6627</xdr:colOff>
      <xdr:row>13</xdr:row>
      <xdr:rowOff>149500</xdr:rowOff>
    </xdr:from>
    <xdr:to>
      <xdr:col>10</xdr:col>
      <xdr:colOff>0</xdr:colOff>
      <xdr:row>15</xdr:row>
      <xdr:rowOff>155789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82203B2F-B249-4DF6-8287-1804BC9B71A4}"/>
            </a:ext>
          </a:extLst>
        </xdr:cNvPr>
        <xdr:cNvSpPr/>
      </xdr:nvSpPr>
      <xdr:spPr>
        <a:xfrm>
          <a:off x="5969277" y="2597425"/>
          <a:ext cx="974448" cy="37776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978177</xdr:colOff>
      <xdr:row>13</xdr:row>
      <xdr:rowOff>156955</xdr:rowOff>
    </xdr:from>
    <xdr:to>
      <xdr:col>11</xdr:col>
      <xdr:colOff>1232866</xdr:colOff>
      <xdr:row>15</xdr:row>
      <xdr:rowOff>153718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90793834-1CAD-4074-A897-82DF8CBF310F}"/>
            </a:ext>
          </a:extLst>
        </xdr:cNvPr>
        <xdr:cNvSpPr/>
      </xdr:nvSpPr>
      <xdr:spPr>
        <a:xfrm>
          <a:off x="6940827" y="2604880"/>
          <a:ext cx="1235764" cy="36823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6626</xdr:colOff>
      <xdr:row>13</xdr:row>
      <xdr:rowOff>156956</xdr:rowOff>
    </xdr:from>
    <xdr:to>
      <xdr:col>13</xdr:col>
      <xdr:colOff>496</xdr:colOff>
      <xdr:row>15</xdr:row>
      <xdr:rowOff>153719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794BDB25-B914-496C-A152-580791018FA4}"/>
            </a:ext>
          </a:extLst>
        </xdr:cNvPr>
        <xdr:cNvSpPr/>
      </xdr:nvSpPr>
      <xdr:spPr>
        <a:xfrm>
          <a:off x="8198126" y="2604881"/>
          <a:ext cx="708245" cy="36823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16150</xdr:colOff>
      <xdr:row>22</xdr:row>
      <xdr:rowOff>166482</xdr:rowOff>
    </xdr:from>
    <xdr:to>
      <xdr:col>4</xdr:col>
      <xdr:colOff>352425</xdr:colOff>
      <xdr:row>24</xdr:row>
      <xdr:rowOff>155002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28DC4F9C-CBB1-4CF8-99C6-1A04EF8FD11F}"/>
            </a:ext>
          </a:extLst>
        </xdr:cNvPr>
        <xdr:cNvSpPr/>
      </xdr:nvSpPr>
      <xdr:spPr>
        <a:xfrm>
          <a:off x="1749700" y="4433682"/>
          <a:ext cx="2565125" cy="36952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5</xdr:col>
      <xdr:colOff>0</xdr:colOff>
      <xdr:row>22</xdr:row>
      <xdr:rowOff>159026</xdr:rowOff>
    </xdr:from>
    <xdr:to>
      <xdr:col>8</xdr:col>
      <xdr:colOff>0</xdr:colOff>
      <xdr:row>24</xdr:row>
      <xdr:rowOff>150006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CD0DE208-FBBE-4B8F-BDF8-246E40492E4D}"/>
            </a:ext>
          </a:extLst>
        </xdr:cNvPr>
        <xdr:cNvSpPr/>
      </xdr:nvSpPr>
      <xdr:spPr>
        <a:xfrm>
          <a:off x="4343400" y="4426226"/>
          <a:ext cx="1619250" cy="371980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8</xdr:col>
      <xdr:colOff>6627</xdr:colOff>
      <xdr:row>22</xdr:row>
      <xdr:rowOff>156955</xdr:rowOff>
    </xdr:from>
    <xdr:to>
      <xdr:col>10</xdr:col>
      <xdr:colOff>0</xdr:colOff>
      <xdr:row>24</xdr:row>
      <xdr:rowOff>153719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24AB1A9B-1E1C-4597-BC3B-DE85C38FED7A}"/>
            </a:ext>
          </a:extLst>
        </xdr:cNvPr>
        <xdr:cNvSpPr/>
      </xdr:nvSpPr>
      <xdr:spPr>
        <a:xfrm>
          <a:off x="5969277" y="4424155"/>
          <a:ext cx="974448" cy="37776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16151</xdr:colOff>
      <xdr:row>22</xdr:row>
      <xdr:rowOff>154056</xdr:rowOff>
    </xdr:from>
    <xdr:to>
      <xdr:col>13</xdr:col>
      <xdr:colOff>6625</xdr:colOff>
      <xdr:row>24</xdr:row>
      <xdr:rowOff>144193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5EEF7078-C0C2-434E-93EC-597A63A451F8}"/>
            </a:ext>
          </a:extLst>
        </xdr:cNvPr>
        <xdr:cNvSpPr/>
      </xdr:nvSpPr>
      <xdr:spPr>
        <a:xfrm>
          <a:off x="6959876" y="4421256"/>
          <a:ext cx="1952624" cy="37113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172211</xdr:colOff>
      <xdr:row>0</xdr:row>
      <xdr:rowOff>97566</xdr:rowOff>
    </xdr:from>
    <xdr:to>
      <xdr:col>1</xdr:col>
      <xdr:colOff>685800</xdr:colOff>
      <xdr:row>3</xdr:row>
      <xdr:rowOff>75608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0BF75EF-BF3F-4EA4-9498-B3AB6900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1" y="97566"/>
          <a:ext cx="1237489" cy="54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18" name="Flèche : droite 17">
          <a:extLst>
            <a:ext uri="{FF2B5EF4-FFF2-40B4-BE49-F238E27FC236}">
              <a16:creationId xmlns:a16="http://schemas.microsoft.com/office/drawing/2014/main" id="{8D631F8D-4101-4975-B440-A5496DF65CF6}"/>
            </a:ext>
          </a:extLst>
        </xdr:cNvPr>
        <xdr:cNvSpPr/>
      </xdr:nvSpPr>
      <xdr:spPr>
        <a:xfrm>
          <a:off x="892863" y="3289024"/>
          <a:ext cx="594693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9524</xdr:colOff>
      <xdr:row>13</xdr:row>
      <xdr:rowOff>152400</xdr:rowOff>
    </xdr:from>
    <xdr:to>
      <xdr:col>7</xdr:col>
      <xdr:colOff>1600199</xdr:colOff>
      <xdr:row>15</xdr:row>
      <xdr:rowOff>150006</xdr:rowOff>
    </xdr:to>
    <xdr:sp macro="" textlink="">
      <xdr:nvSpPr>
        <xdr:cNvPr id="22" name="Rectangle : coins arrondis 21">
          <a:extLst>
            <a:ext uri="{FF2B5EF4-FFF2-40B4-BE49-F238E27FC236}">
              <a16:creationId xmlns:a16="http://schemas.microsoft.com/office/drawing/2014/main" id="{EE1153CD-EEEA-4AE0-9A7C-3D5FD0E9214D}"/>
            </a:ext>
          </a:extLst>
        </xdr:cNvPr>
        <xdr:cNvSpPr/>
      </xdr:nvSpPr>
      <xdr:spPr>
        <a:xfrm>
          <a:off x="4352924" y="2600325"/>
          <a:ext cx="1590675" cy="369081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4</xdr:col>
      <xdr:colOff>189672</xdr:colOff>
      <xdr:row>4</xdr:row>
      <xdr:rowOff>195055</xdr:rowOff>
    </xdr:from>
    <xdr:to>
      <xdr:col>9</xdr:col>
      <xdr:colOff>969726</xdr:colOff>
      <xdr:row>10</xdr:row>
      <xdr:rowOff>99977</xdr:rowOff>
    </xdr:to>
    <xdr:sp macro="" textlink="">
      <xdr:nvSpPr>
        <xdr:cNvPr id="32" name="Rectangle : coins arrondis 31">
          <a:extLst>
            <a:ext uri="{FF2B5EF4-FFF2-40B4-BE49-F238E27FC236}">
              <a16:creationId xmlns:a16="http://schemas.microsoft.com/office/drawing/2014/main" id="{C53EE649-6A3E-4B52-B95C-2A1E68B5E146}"/>
            </a:ext>
          </a:extLst>
        </xdr:cNvPr>
        <xdr:cNvSpPr/>
      </xdr:nvSpPr>
      <xdr:spPr>
        <a:xfrm>
          <a:off x="4209222" y="928480"/>
          <a:ext cx="2656479" cy="106697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CALCUL POIDS CARBONE PLANCHER</a:t>
          </a:r>
        </a:p>
      </xdr:txBody>
    </xdr:sp>
    <xdr:clientData/>
  </xdr:twoCellAnchor>
  <xdr:twoCellAnchor>
    <xdr:from>
      <xdr:col>11</xdr:col>
      <xdr:colOff>40999</xdr:colOff>
      <xdr:row>27</xdr:row>
      <xdr:rowOff>114301</xdr:rowOff>
    </xdr:from>
    <xdr:to>
      <xdr:col>12</xdr:col>
      <xdr:colOff>636949</xdr:colOff>
      <xdr:row>29</xdr:row>
      <xdr:rowOff>105603</xdr:rowOff>
    </xdr:to>
    <xdr:sp macro="" textlink="">
      <xdr:nvSpPr>
        <xdr:cNvPr id="33" name="Rectangle : coins arrondis 32">
          <a:extLst>
            <a:ext uri="{FF2B5EF4-FFF2-40B4-BE49-F238E27FC236}">
              <a16:creationId xmlns:a16="http://schemas.microsoft.com/office/drawing/2014/main" id="{39A0C860-D976-4D4A-932D-BF2543FB00FE}"/>
            </a:ext>
          </a:extLst>
        </xdr:cNvPr>
        <xdr:cNvSpPr/>
      </xdr:nvSpPr>
      <xdr:spPr>
        <a:xfrm>
          <a:off x="6984724" y="5314951"/>
          <a:ext cx="1843725" cy="39135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PLANCHER </a:t>
          </a:r>
        </a:p>
      </xdr:txBody>
    </xdr:sp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37" name="Flèche : droite 36">
          <a:extLst>
            <a:ext uri="{FF2B5EF4-FFF2-40B4-BE49-F238E27FC236}">
              <a16:creationId xmlns:a16="http://schemas.microsoft.com/office/drawing/2014/main" id="{A955C493-598B-486C-BA7E-32FA37B027BD}"/>
            </a:ext>
          </a:extLst>
        </xdr:cNvPr>
        <xdr:cNvSpPr/>
      </xdr:nvSpPr>
      <xdr:spPr>
        <a:xfrm>
          <a:off x="892863" y="3289024"/>
          <a:ext cx="594693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19050</xdr:colOff>
      <xdr:row>12</xdr:row>
      <xdr:rowOff>179733</xdr:rowOff>
    </xdr:from>
    <xdr:to>
      <xdr:col>4</xdr:col>
      <xdr:colOff>371475</xdr:colOff>
      <xdr:row>15</xdr:row>
      <xdr:rowOff>166597</xdr:rowOff>
    </xdr:to>
    <xdr:sp macro="" textlink="">
      <xdr:nvSpPr>
        <xdr:cNvPr id="39" name="Rectangle : coins arrondis 38">
          <a:extLst>
            <a:ext uri="{FF2B5EF4-FFF2-40B4-BE49-F238E27FC236}">
              <a16:creationId xmlns:a16="http://schemas.microsoft.com/office/drawing/2014/main" id="{AE7D9E4C-1576-47BB-AE7A-1E4CC6C2FD02}"/>
            </a:ext>
          </a:extLst>
        </xdr:cNvPr>
        <xdr:cNvSpPr/>
      </xdr:nvSpPr>
      <xdr:spPr>
        <a:xfrm>
          <a:off x="3981450" y="2437158"/>
          <a:ext cx="352425" cy="548839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1"/>
        <a:lstStyle/>
        <a:p>
          <a:pPr lvl="0" algn="l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</a:t>
          </a:r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J</a:t>
          </a:r>
        </a:p>
      </xdr:txBody>
    </xdr:sp>
    <xdr:clientData/>
  </xdr:twoCellAnchor>
  <xdr:oneCellAnchor>
    <xdr:from>
      <xdr:col>0</xdr:col>
      <xdr:colOff>600075</xdr:colOff>
      <xdr:row>6</xdr:row>
      <xdr:rowOff>76200</xdr:rowOff>
    </xdr:from>
    <xdr:ext cx="1971675" cy="593239"/>
    <xdr:sp macro="" textlink="">
      <xdr:nvSpPr>
        <xdr:cNvPr id="40" name="ZoneTexte 3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A61331-295A-49C5-9762-ABA09A58F89F}"/>
            </a:ext>
          </a:extLst>
        </xdr:cNvPr>
        <xdr:cNvSpPr txBox="1"/>
      </xdr:nvSpPr>
      <xdr:spPr>
        <a:xfrm>
          <a:off x="600075" y="1219200"/>
          <a:ext cx="1971675" cy="593239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600" b="1" baseline="0"/>
            <a:t>RETOUR  DIMENSIONNEMENT </a:t>
          </a:r>
          <a:endParaRPr lang="fr-FR" sz="1600" b="1"/>
        </a:p>
      </xdr:txBody>
    </xdr:sp>
    <xdr:clientData/>
  </xdr:oneCellAnchor>
  <xdr:twoCellAnchor>
    <xdr:from>
      <xdr:col>16</xdr:col>
      <xdr:colOff>261317</xdr:colOff>
      <xdr:row>16</xdr:row>
      <xdr:rowOff>9525</xdr:rowOff>
    </xdr:from>
    <xdr:to>
      <xdr:col>17</xdr:col>
      <xdr:colOff>390524</xdr:colOff>
      <xdr:row>16</xdr:row>
      <xdr:rowOff>152401</xdr:rowOff>
    </xdr:to>
    <xdr:sp macro="" textlink="">
      <xdr:nvSpPr>
        <xdr:cNvPr id="42" name="Flèche : droite 41">
          <a:extLst>
            <a:ext uri="{FF2B5EF4-FFF2-40B4-BE49-F238E27FC236}">
              <a16:creationId xmlns:a16="http://schemas.microsoft.com/office/drawing/2014/main" id="{F547C4DC-BDC1-4961-B744-318F76A10897}"/>
            </a:ext>
          </a:extLst>
        </xdr:cNvPr>
        <xdr:cNvSpPr/>
      </xdr:nvSpPr>
      <xdr:spPr>
        <a:xfrm flipH="1">
          <a:off x="9100517" y="3028950"/>
          <a:ext cx="700707" cy="14287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282089</xdr:colOff>
      <xdr:row>23</xdr:row>
      <xdr:rowOff>103946</xdr:rowOff>
    </xdr:from>
    <xdr:to>
      <xdr:col>6</xdr:col>
      <xdr:colOff>56157</xdr:colOff>
      <xdr:row>33</xdr:row>
      <xdr:rowOff>84953</xdr:rowOff>
    </xdr:to>
    <xdr:pic>
      <xdr:nvPicPr>
        <xdr:cNvPr id="14" name="Imag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2A3540-30E8-E8C3-8299-D293B59A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48" l="1233" r="99383">
                      <a14:foregroundMark x1="70900" y1="86596" x2="70900" y2="865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68089" y="3828221"/>
          <a:ext cx="2060068" cy="1600257"/>
        </a:xfrm>
        <a:prstGeom prst="rect">
          <a:avLst/>
        </a:prstGeom>
      </xdr:spPr>
    </xdr:pic>
    <xdr:clientData/>
  </xdr:twoCellAnchor>
  <xdr:oneCellAnchor>
    <xdr:from>
      <xdr:col>0</xdr:col>
      <xdr:colOff>234813</xdr:colOff>
      <xdr:row>5</xdr:row>
      <xdr:rowOff>54666</xdr:rowOff>
    </xdr:from>
    <xdr:ext cx="3063146" cy="342786"/>
    <xdr:sp macro="" textlink="">
      <xdr:nvSpPr>
        <xdr:cNvPr id="7" name="ZoneText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B84A7F-6FB4-4DBF-93B9-6AB4E1F4A928}"/>
            </a:ext>
          </a:extLst>
        </xdr:cNvPr>
        <xdr:cNvSpPr txBox="1"/>
      </xdr:nvSpPr>
      <xdr:spPr>
        <a:xfrm>
          <a:off x="234813" y="882927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twoCellAnchor editAs="oneCell">
    <xdr:from>
      <xdr:col>12</xdr:col>
      <xdr:colOff>175995</xdr:colOff>
      <xdr:row>31</xdr:row>
      <xdr:rowOff>152399</xdr:rowOff>
    </xdr:from>
    <xdr:to>
      <xdr:col>15</xdr:col>
      <xdr:colOff>747690</xdr:colOff>
      <xdr:row>40</xdr:row>
      <xdr:rowOff>114299</xdr:rowOff>
    </xdr:to>
    <xdr:pic>
      <xdr:nvPicPr>
        <xdr:cNvPr id="11" name="Imag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9AD8D2-8B82-FB40-E0A6-B22F92CA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9319995" y="5015752"/>
          <a:ext cx="2857695" cy="1373841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0</xdr:row>
      <xdr:rowOff>107674</xdr:rowOff>
    </xdr:from>
    <xdr:to>
      <xdr:col>2</xdr:col>
      <xdr:colOff>50548</xdr:colOff>
      <xdr:row>3</xdr:row>
      <xdr:rowOff>129957</xdr:rowOff>
    </xdr:to>
    <xdr:pic>
      <xdr:nvPicPr>
        <xdr:cNvPr id="16" name="Image 2">
          <a:extLst>
            <a:ext uri="{FF2B5EF4-FFF2-40B4-BE49-F238E27FC236}">
              <a16:creationId xmlns:a16="http://schemas.microsoft.com/office/drawing/2014/main" id="{738E8911-778A-4D88-9394-D97AF22E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6" y="107674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536411</xdr:colOff>
      <xdr:row>11</xdr:row>
      <xdr:rowOff>33939</xdr:rowOff>
    </xdr:from>
    <xdr:ext cx="1247969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83BE0BA2-BE6E-FF11-3332-7BF7B8F952EC}"/>
            </a:ext>
          </a:extLst>
        </xdr:cNvPr>
        <xdr:cNvSpPr/>
      </xdr:nvSpPr>
      <xdr:spPr>
        <a:xfrm>
          <a:off x="2060411" y="1815114"/>
          <a:ext cx="124796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13</xdr:col>
      <xdr:colOff>446456</xdr:colOff>
      <xdr:row>29</xdr:row>
      <xdr:rowOff>61174</xdr:rowOff>
    </xdr:from>
    <xdr:ext cx="238097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A4CB872-00F1-4CA4-9B6F-D9F76FF03388}"/>
            </a:ext>
          </a:extLst>
        </xdr:cNvPr>
        <xdr:cNvSpPr/>
      </xdr:nvSpPr>
      <xdr:spPr>
        <a:xfrm>
          <a:off x="10352456" y="4610762"/>
          <a:ext cx="23809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PREDAL-SEACOUSTIC</a:t>
          </a:r>
        </a:p>
      </xdr:txBody>
    </xdr:sp>
    <xdr:clientData/>
  </xdr:oneCellAnchor>
  <xdr:oneCellAnchor>
    <xdr:from>
      <xdr:col>7</xdr:col>
      <xdr:colOff>610618</xdr:colOff>
      <xdr:row>6</xdr:row>
      <xdr:rowOff>157784</xdr:rowOff>
    </xdr:from>
    <xdr:ext cx="1018164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A226D18A-E7A0-4198-A46C-8162B8541087}"/>
            </a:ext>
          </a:extLst>
        </xdr:cNvPr>
        <xdr:cNvSpPr/>
      </xdr:nvSpPr>
      <xdr:spPr>
        <a:xfrm>
          <a:off x="5944618" y="1129334"/>
          <a:ext cx="101816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VS</a:t>
          </a:r>
        </a:p>
      </xdr:txBody>
    </xdr:sp>
    <xdr:clientData/>
  </xdr:oneCellAnchor>
  <xdr:oneCellAnchor>
    <xdr:from>
      <xdr:col>11</xdr:col>
      <xdr:colOff>632170</xdr:colOff>
      <xdr:row>15</xdr:row>
      <xdr:rowOff>25554</xdr:rowOff>
    </xdr:from>
    <xdr:ext cx="1144224" cy="405432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99790B64-0F78-44AC-8904-72CF5D7D8B86}"/>
            </a:ext>
          </a:extLst>
        </xdr:cNvPr>
        <xdr:cNvSpPr/>
      </xdr:nvSpPr>
      <xdr:spPr>
        <a:xfrm>
          <a:off x="9014170" y="2378789"/>
          <a:ext cx="11442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</xdr:col>
      <xdr:colOff>455338</xdr:colOff>
      <xdr:row>25</xdr:row>
      <xdr:rowOff>1657</xdr:rowOff>
    </xdr:from>
    <xdr:ext cx="1173013" cy="405432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925DC177-B67F-4746-8EA6-222DA89E5AE2}"/>
            </a:ext>
          </a:extLst>
        </xdr:cNvPr>
        <xdr:cNvSpPr/>
      </xdr:nvSpPr>
      <xdr:spPr>
        <a:xfrm>
          <a:off x="1217338" y="4049782"/>
          <a:ext cx="11730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6</xdr:col>
      <xdr:colOff>698705</xdr:colOff>
      <xdr:row>27</xdr:row>
      <xdr:rowOff>102500</xdr:rowOff>
    </xdr:from>
    <xdr:ext cx="4065793" cy="718530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8BA78A2A-6BE3-4B07-B594-B6C9B8DA00CF}"/>
            </a:ext>
          </a:extLst>
        </xdr:cNvPr>
        <xdr:cNvSpPr/>
      </xdr:nvSpPr>
      <xdr:spPr>
        <a:xfrm>
          <a:off x="5270705" y="4338324"/>
          <a:ext cx="4065793" cy="7185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cliquer sur l'image d'un plancher</a:t>
          </a:r>
        </a:p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pour</a:t>
          </a:r>
          <a:r>
            <a:rPr lang="fr-FR" sz="2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accéder a l'information produit</a:t>
          </a:r>
          <a:endParaRPr lang="fr-FR" sz="20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517043</xdr:colOff>
      <xdr:row>38</xdr:row>
      <xdr:rowOff>159025</xdr:rowOff>
    </xdr:from>
    <xdr:to>
      <xdr:col>7</xdr:col>
      <xdr:colOff>222801</xdr:colOff>
      <xdr:row>46</xdr:row>
      <xdr:rowOff>92764</xdr:rowOff>
    </xdr:to>
    <xdr:pic>
      <xdr:nvPicPr>
        <xdr:cNvPr id="30" name="Image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CAE25B-6AE8-D3D8-3A4A-FAD5F18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95" b="100000" l="0" r="99805">
                      <a14:foregroundMark x1="13477" y1="6836" x2="13477" y2="6836"/>
                      <a14:foregroundMark x1="29883" y1="4297" x2="29883" y2="4297"/>
                      <a14:foregroundMark x1="56641" y1="4297" x2="56641" y2="4297"/>
                      <a14:foregroundMark x1="76367" y1="6445" x2="76367" y2="6445"/>
                      <a14:foregroundMark x1="87891" y1="5078" x2="87891" y2="5078"/>
                      <a14:foregroundMark x1="95508" y1="5078" x2="95508" y2="5078"/>
                      <a14:foregroundMark x1="42578" y1="4297" x2="42578" y2="4297"/>
                      <a14:foregroundMark x1="36719" y1="3320" x2="36719" y2="3320"/>
                      <a14:foregroundMark x1="22852" y1="5664" x2="22852" y2="5664"/>
                      <a14:foregroundMark x1="7813" y1="6445" x2="7813" y2="6445"/>
                      <a14:foregroundMark x1="2539" y1="6445" x2="2539" y2="6445"/>
                      <a14:foregroundMark x1="81055" y1="4297" x2="81055" y2="4297"/>
                      <a14:foregroundMark x1="71875" y1="4102" x2="71875" y2="4102"/>
                      <a14:foregroundMark x1="68164" y1="3711" x2="68164" y2="3711"/>
                      <a14:foregroundMark x1="65430" y1="4102" x2="65430" y2="4102"/>
                      <a14:foregroundMark x1="63086" y1="4297" x2="63086" y2="4297"/>
                      <a14:foregroundMark x1="61523" y1="4492" x2="61523" y2="4492"/>
                      <a14:foregroundMark x1="58984" y1="4883" x2="58984" y2="4883"/>
                      <a14:foregroundMark x1="75195" y1="64063" x2="75195" y2="64063"/>
                      <a14:foregroundMark x1="75977" y1="68555" x2="75977" y2="68555"/>
                      <a14:foregroundMark x1="76953" y1="77539" x2="76953" y2="77539"/>
                      <a14:foregroundMark x1="78320" y1="80273" x2="78320" y2="80273"/>
                      <a14:foregroundMark x1="84570" y1="82227" x2="84570" y2="82227"/>
                      <a14:foregroundMark x1="90234" y1="77344" x2="90234" y2="77344"/>
                      <a14:foregroundMark x1="92578" y1="71289" x2="92578" y2="71289"/>
                      <a14:foregroundMark x1="94141" y1="63281" x2="94141" y2="63281"/>
                      <a14:foregroundMark x1="94531" y1="59961" x2="94531" y2="59961"/>
                      <a14:foregroundMark x1="96289" y1="51758" x2="96289" y2="51758"/>
                      <a14:foregroundMark x1="82031" y1="72656" x2="82031" y2="72656"/>
                      <a14:foregroundMark x1="83398" y1="67578" x2="83398" y2="67578"/>
                      <a14:foregroundMark x1="83008" y1="63086" x2="83008" y2="63086"/>
                      <a14:foregroundMark x1="82422" y1="61719" x2="82422" y2="61719"/>
                      <a14:foregroundMark x1="70117" y1="82813" x2="70117" y2="82813"/>
                      <a14:foregroundMark x1="73242" y1="88867" x2="73828" y2="88867"/>
                      <a14:foregroundMark x1="75977" y1="88477" x2="75977" y2="88477"/>
                      <a14:foregroundMark x1="77734" y1="87695" x2="80469" y2="87695"/>
                      <a14:foregroundMark x1="82227" y1="87500" x2="82813" y2="87109"/>
                      <a14:foregroundMark x1="83398" y1="86328" x2="83984" y2="86328"/>
                      <a14:foregroundMark x1="84961" y1="85547" x2="84961" y2="85547"/>
                      <a14:foregroundMark x1="86719" y1="84766" x2="87305" y2="84766"/>
                      <a14:foregroundMark x1="91211" y1="81836" x2="91211" y2="81836"/>
                      <a14:foregroundMark x1="92188" y1="81445" x2="92188" y2="81445"/>
                      <a14:foregroundMark x1="93945" y1="80078" x2="93945" y2="80078"/>
                      <a14:foregroundMark x1="50781" y1="79492" x2="50781" y2="79492"/>
                      <a14:foregroundMark x1="45898" y1="76367" x2="45313" y2="75586"/>
                      <a14:foregroundMark x1="38281" y1="71289" x2="38281" y2="71289"/>
                      <a14:foregroundMark x1="35742" y1="69531" x2="35352" y2="69336"/>
                      <a14:foregroundMark x1="30273" y1="66016" x2="30273" y2="66016"/>
                      <a14:foregroundMark x1="27148" y1="62500" x2="26953" y2="61719"/>
                      <a14:foregroundMark x1="21484" y1="55078" x2="21484" y2="55078"/>
                      <a14:foregroundMark x1="16406" y1="53125" x2="16406" y2="53125"/>
                      <a14:foregroundMark x1="4297" y1="44141" x2="4297" y2="44141"/>
                      <a14:foregroundMark x1="4492" y1="50977" x2="4492" y2="50977"/>
                      <a14:foregroundMark x1="6836" y1="58789" x2="6836" y2="58789"/>
                      <a14:foregroundMark x1="8203" y1="62695" x2="8594" y2="64063"/>
                      <a14:foregroundMark x1="8984" y1="68164" x2="9961" y2="69922"/>
                      <a14:foregroundMark x1="13281" y1="73438" x2="14063" y2="73633"/>
                      <a14:foregroundMark x1="16406" y1="75977" x2="19141" y2="78125"/>
                      <a14:foregroundMark x1="22461" y1="79688" x2="23047" y2="80078"/>
                      <a14:foregroundMark x1="28320" y1="83594" x2="29883" y2="85547"/>
                      <a14:foregroundMark x1="27148" y1="87109" x2="27148" y2="87109"/>
                      <a14:foregroundMark x1="13477" y1="83398" x2="13477" y2="83398"/>
                      <a14:foregroundMark x1="9375" y1="78906" x2="9375" y2="78906"/>
                      <a14:foregroundMark x1="7227" y1="76758" x2="7227" y2="76758"/>
                      <a14:foregroundMark x1="25000" y1="85156" x2="26172" y2="85742"/>
                      <a14:foregroundMark x1="31055" y1="90625" x2="32227" y2="91016"/>
                      <a14:foregroundMark x1="34375" y1="91992" x2="35742" y2="92969"/>
                      <a14:foregroundMark x1="39258" y1="93945" x2="39258" y2="93945"/>
                      <a14:foregroundMark x1="41211" y1="91211" x2="41211" y2="91211"/>
                      <a14:foregroundMark x1="42578" y1="86133" x2="42578" y2="86133"/>
                      <a14:foregroundMark x1="40820" y1="81055" x2="40820" y2="81055"/>
                      <a14:foregroundMark x1="34766" y1="78125" x2="32813" y2="77344"/>
                      <a14:foregroundMark x1="26172" y1="74219" x2="26172" y2="74219"/>
                      <a14:foregroundMark x1="21289" y1="67578" x2="21289" y2="67578"/>
                      <a14:foregroundMark x1="19531" y1="66016" x2="19531" y2="66016"/>
                      <a14:foregroundMark x1="21875" y1="62500" x2="21875" y2="62500"/>
                      <a14:foregroundMark x1="17188" y1="56641" x2="16992" y2="55078"/>
                      <a14:foregroundMark x1="10156" y1="48438" x2="10156" y2="48438"/>
                      <a14:foregroundMark x1="53711" y1="81641" x2="53711" y2="81641"/>
                      <a14:foregroundMark x1="54492" y1="78711" x2="54492" y2="78711"/>
                      <a14:foregroundMark x1="55469" y1="75977" x2="56445" y2="75977"/>
                      <a14:foregroundMark x1="58398" y1="77734" x2="58594" y2="78906"/>
                      <a14:foregroundMark x1="58789" y1="82422" x2="58984" y2="84375"/>
                      <a14:foregroundMark x1="59180" y1="86523" x2="59766" y2="87891"/>
                      <a14:foregroundMark x1="61914" y1="89258" x2="61914" y2="89258"/>
                      <a14:foregroundMark x1="65039" y1="91211" x2="65820" y2="91797"/>
                      <a14:foregroundMark x1="67188" y1="91992" x2="67188" y2="91992"/>
                      <a14:foregroundMark x1="70703" y1="92969" x2="70703" y2="92969"/>
                      <a14:foregroundMark x1="74414" y1="94727" x2="74414" y2="94727"/>
                      <a14:foregroundMark x1="75977" y1="94531" x2="75977" y2="94531"/>
                      <a14:foregroundMark x1="77930" y1="93359" x2="79102" y2="93359"/>
                      <a14:foregroundMark x1="80273" y1="93164" x2="80273" y2="93164"/>
                      <a14:foregroundMark x1="81641" y1="92578" x2="82617" y2="92383"/>
                      <a14:foregroundMark x1="83984" y1="91016" x2="83984" y2="91016"/>
                      <a14:foregroundMark x1="86133" y1="83594" x2="86133" y2="83594"/>
                      <a14:foregroundMark x1="86133" y1="79492" x2="86133" y2="79492"/>
                      <a14:foregroundMark x1="86133" y1="77539" x2="86133" y2="77539"/>
                      <a14:foregroundMark x1="87500" y1="76172" x2="87500" y2="76172"/>
                      <a14:foregroundMark x1="88281" y1="75977" x2="87109" y2="76953"/>
                      <a14:foregroundMark x1="81250" y1="78320" x2="81250" y2="79688"/>
                      <a14:foregroundMark x1="81250" y1="82813" x2="81055" y2="83594"/>
                      <a14:foregroundMark x1="78906" y1="85156" x2="76953" y2="86328"/>
                      <a14:foregroundMark x1="75586" y1="85156" x2="75586" y2="85156"/>
                      <a14:foregroundMark x1="72461" y1="89063" x2="72461" y2="90234"/>
                      <a14:foregroundMark x1="71094" y1="92969" x2="70313" y2="93945"/>
                      <a14:foregroundMark x1="68555" y1="95117" x2="68555" y2="95117"/>
                      <a14:foregroundMark x1="66211" y1="94727" x2="66211" y2="94727"/>
                      <a14:foregroundMark x1="64453" y1="95117" x2="64453" y2="95117"/>
                      <a14:foregroundMark x1="61719" y1="95117" x2="60938" y2="95313"/>
                      <a14:foregroundMark x1="59375" y1="95313" x2="59375" y2="95313"/>
                      <a14:foregroundMark x1="57031" y1="95313" x2="57031" y2="95313"/>
                      <a14:foregroundMark x1="54688" y1="95703" x2="54688" y2="95703"/>
                      <a14:foregroundMark x1="53125" y1="93945" x2="53125" y2="93945"/>
                      <a14:foregroundMark x1="51758" y1="92969" x2="51758" y2="92969"/>
                      <a14:foregroundMark x1="50781" y1="90625" x2="50781" y2="90625"/>
                      <a14:foregroundMark x1="48438" y1="91016" x2="48438" y2="91016"/>
                      <a14:foregroundMark x1="45508" y1="92969" x2="45508" y2="92969"/>
                      <a14:foregroundMark x1="43945" y1="92383" x2="43945" y2="92383"/>
                      <a14:foregroundMark x1="42773" y1="89648" x2="42773" y2="89648"/>
                      <a14:foregroundMark x1="38477" y1="88281" x2="38477" y2="88281"/>
                      <a14:foregroundMark x1="36914" y1="86523" x2="36523" y2="87500"/>
                      <a14:foregroundMark x1="35742" y1="88477" x2="35742" y2="88477"/>
                      <a14:foregroundMark x1="34570" y1="90430" x2="33203" y2="91797"/>
                      <a14:foregroundMark x1="29492" y1="93164" x2="29492" y2="93164"/>
                      <a14:foregroundMark x1="26172" y1="92578" x2="26172" y2="92578"/>
                      <a14:foregroundMark x1="24609" y1="90625" x2="24609" y2="90625"/>
                      <a14:foregroundMark x1="22266" y1="88281" x2="21875" y2="88281"/>
                      <a14:foregroundMark x1="19727" y1="87109" x2="19727" y2="87109"/>
                      <a14:foregroundMark x1="18359" y1="86328" x2="17773" y2="85742"/>
                      <a14:foregroundMark x1="16211" y1="82227" x2="15430" y2="80859"/>
                      <a14:foregroundMark x1="12891" y1="78125" x2="12891" y2="78125"/>
                      <a14:foregroundMark x1="9961" y1="75391" x2="9180" y2="74609"/>
                      <a14:foregroundMark x1="4492" y1="69922" x2="4297" y2="68945"/>
                      <a14:foregroundMark x1="2344" y1="64648" x2="2344" y2="64648"/>
                      <a14:foregroundMark x1="2344" y1="64453" x2="2344" y2="64453"/>
                      <a14:foregroundMark x1="2734" y1="70313" x2="2734" y2="70313"/>
                      <a14:foregroundMark x1="3320" y1="70898" x2="3320" y2="70898"/>
                      <a14:foregroundMark x1="2344" y1="41016" x2="2344" y2="41016"/>
                      <a14:foregroundMark x1="95703" y1="83594" x2="95703" y2="83594"/>
                      <a14:foregroundMark x1="97070" y1="79102" x2="97070" y2="79102"/>
                      <a14:foregroundMark x1="97461" y1="73438" x2="97461" y2="73438"/>
                      <a14:foregroundMark x1="97070" y1="71289" x2="96484" y2="71289"/>
                      <a14:foregroundMark x1="95508" y1="71289" x2="95508" y2="71289"/>
                      <a14:foregroundMark x1="47461" y1="95313" x2="47461" y2="95313"/>
                      <a14:foregroundMark x1="44336" y1="95898" x2="44336" y2="95898"/>
                      <a14:foregroundMark x1="45898" y1="98047" x2="45898" y2="98047"/>
                      <a14:foregroundMark x1="33984" y1="98047" x2="33984" y2="98047"/>
                      <a14:foregroundMark x1="31641" y1="98438" x2="31641" y2="98438"/>
                      <a14:foregroundMark x1="26563" y1="98438" x2="26563" y2="98438"/>
                      <a14:foregroundMark x1="23633" y1="95898" x2="23633" y2="95898"/>
                      <a14:foregroundMark x1="18750" y1="92969" x2="18750" y2="92969"/>
                      <a14:foregroundMark x1="14063" y1="89063" x2="14063" y2="8906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65043" y="6312175"/>
          <a:ext cx="1991758" cy="1229139"/>
        </a:xfrm>
        <a:prstGeom prst="rect">
          <a:avLst/>
        </a:prstGeom>
      </xdr:spPr>
    </xdr:pic>
    <xdr:clientData/>
  </xdr:twoCellAnchor>
  <xdr:oneCellAnchor>
    <xdr:from>
      <xdr:col>3</xdr:col>
      <xdr:colOff>504129</xdr:colOff>
      <xdr:row>35</xdr:row>
      <xdr:rowOff>149088</xdr:rowOff>
    </xdr:from>
    <xdr:ext cx="1437381" cy="405432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15F928F2-7845-47A4-844B-60EBE5370681}"/>
            </a:ext>
          </a:extLst>
        </xdr:cNvPr>
        <xdr:cNvSpPr/>
      </xdr:nvSpPr>
      <xdr:spPr>
        <a:xfrm>
          <a:off x="2790129" y="5816463"/>
          <a:ext cx="143738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Etages</a:t>
          </a:r>
        </a:p>
      </xdr:txBody>
    </xdr:sp>
    <xdr:clientData/>
  </xdr:oneCellAnchor>
  <xdr:twoCellAnchor editAs="oneCell">
    <xdr:from>
      <xdr:col>8</xdr:col>
      <xdr:colOff>235924</xdr:colOff>
      <xdr:row>23</xdr:row>
      <xdr:rowOff>80159</xdr:rowOff>
    </xdr:from>
    <xdr:to>
      <xdr:col>9</xdr:col>
      <xdr:colOff>197567</xdr:colOff>
      <xdr:row>28</xdr:row>
      <xdr:rowOff>11451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DA4A459-E20D-406E-94D5-3811537F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0880400">
          <a:off x="6331924" y="3688453"/>
          <a:ext cx="723643" cy="715704"/>
        </a:xfrm>
        <a:prstGeom prst="rect">
          <a:avLst/>
        </a:prstGeom>
      </xdr:spPr>
    </xdr:pic>
    <xdr:clientData/>
  </xdr:twoCellAnchor>
  <xdr:twoCellAnchor editAs="oneCell">
    <xdr:from>
      <xdr:col>9</xdr:col>
      <xdr:colOff>737572</xdr:colOff>
      <xdr:row>23</xdr:row>
      <xdr:rowOff>86571</xdr:rowOff>
    </xdr:from>
    <xdr:to>
      <xdr:col>10</xdr:col>
      <xdr:colOff>695572</xdr:colOff>
      <xdr:row>28</xdr:row>
      <xdr:rowOff>16464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78E22B7-8035-468C-948F-0761F764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4750477">
          <a:off x="7598419" y="3692018"/>
          <a:ext cx="714305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491937</xdr:colOff>
      <xdr:row>16</xdr:row>
      <xdr:rowOff>2801</xdr:rowOff>
    </xdr:from>
    <xdr:to>
      <xdr:col>15</xdr:col>
      <xdr:colOff>426128</xdr:colOff>
      <xdr:row>25</xdr:row>
      <xdr:rowOff>140634</xdr:rowOff>
    </xdr:to>
    <xdr:pic>
      <xdr:nvPicPr>
        <xdr:cNvPr id="2" name="Imag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310422-4065-1E9A-A118-0DB8E83D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73937" y="2512919"/>
          <a:ext cx="2982191" cy="1549774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8</xdr:row>
      <xdr:rowOff>118922</xdr:rowOff>
    </xdr:from>
    <xdr:to>
      <xdr:col>11</xdr:col>
      <xdr:colOff>152400</xdr:colOff>
      <xdr:row>18</xdr:row>
      <xdr:rowOff>67030</xdr:rowOff>
    </xdr:to>
    <xdr:pic>
      <xdr:nvPicPr>
        <xdr:cNvPr id="6" name="Image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90515D1-5D12-1E92-0BC7-D8090253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10225" y="1414322"/>
          <a:ext cx="2924175" cy="1567358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10</xdr:row>
      <xdr:rowOff>146455</xdr:rowOff>
    </xdr:from>
    <xdr:to>
      <xdr:col>6</xdr:col>
      <xdr:colOff>695325</xdr:colOff>
      <xdr:row>21</xdr:row>
      <xdr:rowOff>19430</xdr:rowOff>
    </xdr:to>
    <xdr:pic>
      <xdr:nvPicPr>
        <xdr:cNvPr id="8" name="Image 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F0C13B6-7DEF-8E57-D7FE-F3621A16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81225" y="1765705"/>
          <a:ext cx="3086100" cy="16541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36</xdr:row>
      <xdr:rowOff>142875</xdr:rowOff>
    </xdr:from>
    <xdr:to>
      <xdr:col>12</xdr:col>
      <xdr:colOff>257175</xdr:colOff>
      <xdr:row>46</xdr:row>
      <xdr:rowOff>122822</xdr:rowOff>
    </xdr:to>
    <xdr:pic>
      <xdr:nvPicPr>
        <xdr:cNvPr id="3" name="Image 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2BBE635-72FA-4CE8-9A22-761BC230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389" b="96238" l="6883" r="9493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24675" y="5972175"/>
          <a:ext cx="2476500" cy="1599197"/>
        </a:xfrm>
        <a:prstGeom prst="rect">
          <a:avLst/>
        </a:prstGeom>
      </xdr:spPr>
    </xdr:pic>
    <xdr:clientData/>
  </xdr:twoCellAnchor>
  <xdr:oneCellAnchor>
    <xdr:from>
      <xdr:col>8</xdr:col>
      <xdr:colOff>249001</xdr:colOff>
      <xdr:row>42</xdr:row>
      <xdr:rowOff>96907</xdr:rowOff>
    </xdr:from>
    <xdr:ext cx="1204689" cy="405432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6A6ED00-C080-4B27-9A83-34B66D8B73B4}"/>
            </a:ext>
          </a:extLst>
        </xdr:cNvPr>
        <xdr:cNvSpPr/>
      </xdr:nvSpPr>
      <xdr:spPr>
        <a:xfrm>
          <a:off x="6345001" y="6897757"/>
          <a:ext cx="120468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42808</xdr:colOff>
      <xdr:row>14</xdr:row>
      <xdr:rowOff>156770</xdr:rowOff>
    </xdr:from>
    <xdr:to>
      <xdr:col>14</xdr:col>
      <xdr:colOff>702275</xdr:colOff>
      <xdr:row>56</xdr:row>
      <xdr:rowOff>32694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24D78AE-8FF1-A16D-712E-32864F6D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2387" y="2939354"/>
          <a:ext cx="9017922" cy="6618340"/>
        </a:xfrm>
        <a:prstGeom prst="rect">
          <a:avLst/>
        </a:prstGeom>
      </xdr:spPr>
    </xdr:pic>
    <xdr:clientData/>
  </xdr:twoCellAnchor>
  <xdr:oneCellAnchor>
    <xdr:from>
      <xdr:col>0</xdr:col>
      <xdr:colOff>195263</xdr:colOff>
      <xdr:row>3</xdr:row>
      <xdr:rowOff>433387</xdr:rowOff>
    </xdr:from>
    <xdr:ext cx="3063146" cy="342786"/>
    <xdr:sp macro="" textlink="">
      <xdr:nvSpPr>
        <xdr:cNvPr id="4" name="ZoneText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E12F3E-52EC-4E2C-9813-1D16FD9F8DE6}"/>
            </a:ext>
          </a:extLst>
        </xdr:cNvPr>
        <xdr:cNvSpPr txBox="1"/>
      </xdr:nvSpPr>
      <xdr:spPr>
        <a:xfrm>
          <a:off x="195263" y="933450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oneCellAnchor>
    <xdr:from>
      <xdr:col>0</xdr:col>
      <xdr:colOff>120614</xdr:colOff>
      <xdr:row>26</xdr:row>
      <xdr:rowOff>123718</xdr:rowOff>
    </xdr:from>
    <xdr:ext cx="2169065" cy="26456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20F1B81-0AA3-1148-FD3F-7E0B06BA9F31}"/>
            </a:ext>
          </a:extLst>
        </xdr:cNvPr>
        <xdr:cNvSpPr txBox="1"/>
      </xdr:nvSpPr>
      <xdr:spPr>
        <a:xfrm>
          <a:off x="120614" y="4832707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types de plancher à sélectionner</a:t>
          </a:r>
        </a:p>
      </xdr:txBody>
    </xdr:sp>
    <xdr:clientData/>
  </xdr:oneCellAnchor>
  <xdr:twoCellAnchor>
    <xdr:from>
      <xdr:col>3</xdr:col>
      <xdr:colOff>3679</xdr:colOff>
      <xdr:row>25</xdr:row>
      <xdr:rowOff>85618</xdr:rowOff>
    </xdr:from>
    <xdr:to>
      <xdr:col>4</xdr:col>
      <xdr:colOff>72989</xdr:colOff>
      <xdr:row>27</xdr:row>
      <xdr:rowOff>94074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EE7C1EDB-489D-D6EB-2BC5-6320427D6840}"/>
            </a:ext>
          </a:extLst>
        </xdr:cNvPr>
        <xdr:cNvCxnSpPr>
          <a:stCxn id="5" idx="3"/>
        </xdr:cNvCxnSpPr>
      </xdr:nvCxnSpPr>
      <xdr:spPr bwMode="auto">
        <a:xfrm flipV="1">
          <a:off x="2283258" y="4634073"/>
          <a:ext cx="829169" cy="329523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2</xdr:col>
      <xdr:colOff>643634</xdr:colOff>
      <xdr:row>27</xdr:row>
      <xdr:rowOff>140413</xdr:rowOff>
    </xdr:from>
    <xdr:to>
      <xdr:col>4</xdr:col>
      <xdr:colOff>634109</xdr:colOff>
      <xdr:row>31</xdr:row>
      <xdr:rowOff>140413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E2959A57-2DB2-F913-A4FB-DC3D4ACDE4F9}"/>
            </a:ext>
          </a:extLst>
        </xdr:cNvPr>
        <xdr:cNvCxnSpPr/>
      </xdr:nvCxnSpPr>
      <xdr:spPr bwMode="auto">
        <a:xfrm>
          <a:off x="2163353" y="5009935"/>
          <a:ext cx="1510194" cy="64213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609600</xdr:colOff>
      <xdr:row>41</xdr:row>
      <xdr:rowOff>47625</xdr:rowOff>
    </xdr:from>
    <xdr:ext cx="2169065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2652DE2-CAF8-430E-8B82-74FCA4DE574F}"/>
            </a:ext>
          </a:extLst>
        </xdr:cNvPr>
        <xdr:cNvSpPr txBox="1"/>
      </xdr:nvSpPr>
      <xdr:spPr>
        <a:xfrm>
          <a:off x="609600" y="7315200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affiche le plancher sélectionné</a:t>
          </a:r>
        </a:p>
      </xdr:txBody>
    </xdr:sp>
    <xdr:clientData/>
  </xdr:oneCellAnchor>
  <xdr:twoCellAnchor>
    <xdr:from>
      <xdr:col>3</xdr:col>
      <xdr:colOff>311690</xdr:colOff>
      <xdr:row>39</xdr:row>
      <xdr:rowOff>142875</xdr:rowOff>
    </xdr:from>
    <xdr:to>
      <xdr:col>5</xdr:col>
      <xdr:colOff>0</xdr:colOff>
      <xdr:row>42</xdr:row>
      <xdr:rowOff>46555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5993BE7D-919E-41E1-ADD4-B7B499453AEF}"/>
            </a:ext>
          </a:extLst>
        </xdr:cNvPr>
        <xdr:cNvCxnSpPr/>
      </xdr:nvCxnSpPr>
      <xdr:spPr bwMode="auto">
        <a:xfrm flipV="1">
          <a:off x="2597690" y="7086600"/>
          <a:ext cx="1212310" cy="38945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487059</xdr:colOff>
      <xdr:row>47</xdr:row>
      <xdr:rowOff>90433</xdr:rowOff>
    </xdr:from>
    <xdr:ext cx="2169065" cy="609013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8BF087B4-CCC9-4F7A-B976-0B46A25B6F8E}"/>
            </a:ext>
          </a:extLst>
        </xdr:cNvPr>
        <xdr:cNvSpPr txBox="1"/>
      </xdr:nvSpPr>
      <xdr:spPr>
        <a:xfrm>
          <a:off x="487059" y="817063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vous propose un accès aux descriptifs et</a:t>
          </a:r>
          <a:r>
            <a:rPr lang="fr-FR" sz="1100" b="1" baseline="0"/>
            <a:t> informations de chaque produit</a:t>
          </a:r>
          <a:endParaRPr lang="fr-FR" sz="1100" b="1"/>
        </a:p>
      </xdr:txBody>
    </xdr:sp>
    <xdr:clientData/>
  </xdr:oneCellAnchor>
  <xdr:twoCellAnchor>
    <xdr:from>
      <xdr:col>3</xdr:col>
      <xdr:colOff>133457</xdr:colOff>
      <xdr:row>49</xdr:row>
      <xdr:rowOff>130996</xdr:rowOff>
    </xdr:from>
    <xdr:to>
      <xdr:col>4</xdr:col>
      <xdr:colOff>693292</xdr:colOff>
      <xdr:row>50</xdr:row>
      <xdr:rowOff>54795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429C025B-CDD8-4967-929A-971364FD39CA}"/>
            </a:ext>
          </a:extLst>
        </xdr:cNvPr>
        <xdr:cNvCxnSpPr/>
      </xdr:nvCxnSpPr>
      <xdr:spPr bwMode="auto">
        <a:xfrm>
          <a:off x="2413036" y="8532260"/>
          <a:ext cx="1319694" cy="84333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14</xdr:col>
      <xdr:colOff>371475</xdr:colOff>
      <xdr:row>20</xdr:row>
      <xdr:rowOff>152400</xdr:rowOff>
    </xdr:from>
    <xdr:to>
      <xdr:col>15</xdr:col>
      <xdr:colOff>276225</xdr:colOff>
      <xdr:row>33</xdr:row>
      <xdr:rowOff>114300</xdr:rowOff>
    </xdr:to>
    <xdr:sp macro="" textlink="">
      <xdr:nvSpPr>
        <xdr:cNvPr id="22" name="Accolade fermante 21">
          <a:extLst>
            <a:ext uri="{FF2B5EF4-FFF2-40B4-BE49-F238E27FC236}">
              <a16:creationId xmlns:a16="http://schemas.microsoft.com/office/drawing/2014/main" id="{779C69B9-4053-8A8E-278D-BD3AE1445EDA}"/>
            </a:ext>
          </a:extLst>
        </xdr:cNvPr>
        <xdr:cNvSpPr/>
      </xdr:nvSpPr>
      <xdr:spPr bwMode="auto">
        <a:xfrm>
          <a:off x="11039475" y="4019550"/>
          <a:ext cx="666750" cy="20669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409575</xdr:colOff>
      <xdr:row>34</xdr:row>
      <xdr:rowOff>142875</xdr:rowOff>
    </xdr:from>
    <xdr:to>
      <xdr:col>15</xdr:col>
      <xdr:colOff>314325</xdr:colOff>
      <xdr:row>39</xdr:row>
      <xdr:rowOff>142875</xdr:rowOff>
    </xdr:to>
    <xdr:sp macro="" textlink="">
      <xdr:nvSpPr>
        <xdr:cNvPr id="23" name="Accolade fermante 22">
          <a:extLst>
            <a:ext uri="{FF2B5EF4-FFF2-40B4-BE49-F238E27FC236}">
              <a16:creationId xmlns:a16="http://schemas.microsoft.com/office/drawing/2014/main" id="{FD2190E3-462C-437E-8AFB-F4D2EFEAFD54}"/>
            </a:ext>
          </a:extLst>
        </xdr:cNvPr>
        <xdr:cNvSpPr/>
      </xdr:nvSpPr>
      <xdr:spPr bwMode="auto">
        <a:xfrm>
          <a:off x="11077575" y="6276975"/>
          <a:ext cx="666750" cy="8096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285750</xdr:colOff>
      <xdr:row>24</xdr:row>
      <xdr:rowOff>66675</xdr:rowOff>
    </xdr:from>
    <xdr:ext cx="2169065" cy="1125693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F7497986-A633-4F71-B0FA-5CB7C3F4486B}"/>
            </a:ext>
          </a:extLst>
        </xdr:cNvPr>
        <xdr:cNvSpPr txBox="1"/>
      </xdr:nvSpPr>
      <xdr:spPr>
        <a:xfrm>
          <a:off x="11715750" y="4581525"/>
          <a:ext cx="2169065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zone des hypothèses de calcul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portées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charges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continuité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étaiement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choix</a:t>
          </a:r>
          <a:r>
            <a:rPr lang="fr-FR" sz="1100" b="1" baseline="0"/>
            <a:t> de jumelage</a:t>
          </a:r>
          <a:endParaRPr lang="fr-FR" sz="1100" b="1"/>
        </a:p>
      </xdr:txBody>
    </xdr:sp>
    <xdr:clientData/>
  </xdr:oneCellAnchor>
  <xdr:oneCellAnchor>
    <xdr:from>
      <xdr:col>15</xdr:col>
      <xdr:colOff>390525</xdr:colOff>
      <xdr:row>35</xdr:row>
      <xdr:rowOff>85725</xdr:rowOff>
    </xdr:from>
    <xdr:ext cx="2169065" cy="609013"/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966380D6-315B-41D7-9D53-1B6AB35FE103}"/>
            </a:ext>
          </a:extLst>
        </xdr:cNvPr>
        <xdr:cNvSpPr txBox="1"/>
      </xdr:nvSpPr>
      <xdr:spPr>
        <a:xfrm>
          <a:off x="11820525" y="638175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préconisation</a:t>
          </a:r>
          <a:r>
            <a:rPr lang="fr-FR" sz="1100" b="1" baseline="0"/>
            <a:t> SEAC du plancher minimum pour répondre aux hypothèses du projet </a:t>
          </a:r>
        </a:p>
      </xdr:txBody>
    </xdr:sp>
    <xdr:clientData/>
  </xdr:oneCellAnchor>
  <xdr:twoCellAnchor>
    <xdr:from>
      <xdr:col>14</xdr:col>
      <xdr:colOff>409575</xdr:colOff>
      <xdr:row>40</xdr:row>
      <xdr:rowOff>114300</xdr:rowOff>
    </xdr:from>
    <xdr:to>
      <xdr:col>15</xdr:col>
      <xdr:colOff>314325</xdr:colOff>
      <xdr:row>52</xdr:row>
      <xdr:rowOff>0</xdr:rowOff>
    </xdr:to>
    <xdr:sp macro="" textlink="">
      <xdr:nvSpPr>
        <xdr:cNvPr id="26" name="Accolade fermante 25">
          <a:extLst>
            <a:ext uri="{FF2B5EF4-FFF2-40B4-BE49-F238E27FC236}">
              <a16:creationId xmlns:a16="http://schemas.microsoft.com/office/drawing/2014/main" id="{0A2ED8F2-32B7-473E-9E0E-F67D65D07FDB}"/>
            </a:ext>
          </a:extLst>
        </xdr:cNvPr>
        <xdr:cNvSpPr/>
      </xdr:nvSpPr>
      <xdr:spPr bwMode="auto">
        <a:xfrm>
          <a:off x="11077575" y="7219950"/>
          <a:ext cx="666750" cy="1828800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389348</xdr:colOff>
      <xdr:row>41</xdr:row>
      <xdr:rowOff>15626</xdr:rowOff>
    </xdr:from>
    <xdr:ext cx="2169065" cy="1297919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FA05A546-E664-4208-B8C4-DC7D3740F020}"/>
            </a:ext>
          </a:extLst>
        </xdr:cNvPr>
        <xdr:cNvSpPr txBox="1"/>
      </xdr:nvSpPr>
      <xdr:spPr>
        <a:xfrm>
          <a:off x="11787241" y="7132620"/>
          <a:ext cx="216906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 cochant l'option "portée</a:t>
          </a:r>
          <a:r>
            <a:rPr lang="fr-FR" sz="1100" b="1" baseline="0"/>
            <a:t> maxi d'un montage",</a:t>
          </a:r>
        </a:p>
        <a:p>
          <a:r>
            <a:rPr lang="fr-FR" sz="1100" b="1" baseline="0"/>
            <a:t> l'outil vous permettra de choisir votre configuration de plancher et d'en obtenir la portée maximale pour les hypothèses </a:t>
          </a:r>
        </a:p>
        <a:p>
          <a:r>
            <a:rPr lang="fr-FR" sz="1100" b="1" baseline="0"/>
            <a:t>renseignées au dessus </a:t>
          </a:r>
        </a:p>
      </xdr:txBody>
    </xdr:sp>
    <xdr:clientData/>
  </xdr:oneCellAnchor>
  <xdr:oneCellAnchor>
    <xdr:from>
      <xdr:col>0</xdr:col>
      <xdr:colOff>194031</xdr:colOff>
      <xdr:row>52</xdr:row>
      <xdr:rowOff>123718</xdr:rowOff>
    </xdr:from>
    <xdr:ext cx="2169065" cy="609013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9B83202A-9863-4F90-B6E3-EB62DB230380}"/>
            </a:ext>
          </a:extLst>
        </xdr:cNvPr>
        <xdr:cNvSpPr txBox="1"/>
      </xdr:nvSpPr>
      <xdr:spPr>
        <a:xfrm>
          <a:off x="194031" y="9006583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envoi</a:t>
          </a:r>
          <a:r>
            <a:rPr lang="fr-FR" sz="1100" b="1" baseline="0"/>
            <a:t> un mail au be seac pour une demande de dimensionnement spécifique</a:t>
          </a:r>
          <a:endParaRPr lang="fr-FR" sz="1100" b="1"/>
        </a:p>
      </xdr:txBody>
    </xdr:sp>
    <xdr:clientData/>
  </xdr:oneCellAnchor>
  <xdr:twoCellAnchor>
    <xdr:from>
      <xdr:col>13</xdr:col>
      <xdr:colOff>514350</xdr:colOff>
      <xdr:row>53</xdr:row>
      <xdr:rowOff>114300</xdr:rowOff>
    </xdr:from>
    <xdr:to>
      <xdr:col>15</xdr:col>
      <xdr:colOff>238125</xdr:colOff>
      <xdr:row>53</xdr:row>
      <xdr:rowOff>133350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54E37BE8-6C42-480E-AAA0-407B5E7A0602}"/>
            </a:ext>
          </a:extLst>
        </xdr:cNvPr>
        <xdr:cNvCxnSpPr/>
      </xdr:nvCxnSpPr>
      <xdr:spPr bwMode="auto">
        <a:xfrm flipH="1">
          <a:off x="10420350" y="9324975"/>
          <a:ext cx="1247775" cy="19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0</xdr:col>
      <xdr:colOff>226219</xdr:colOff>
      <xdr:row>1</xdr:row>
      <xdr:rowOff>47625</xdr:rowOff>
    </xdr:from>
    <xdr:to>
      <xdr:col>2</xdr:col>
      <xdr:colOff>193941</xdr:colOff>
      <xdr:row>3</xdr:row>
      <xdr:rowOff>233490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49FFA11-BA1F-44A0-A7C1-6ED0A278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14313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724650</xdr:colOff>
      <xdr:row>54</xdr:row>
      <xdr:rowOff>0</xdr:rowOff>
    </xdr:from>
    <xdr:to>
      <xdr:col>4</xdr:col>
      <xdr:colOff>503006</xdr:colOff>
      <xdr:row>54</xdr:row>
      <xdr:rowOff>37244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7666EE4E-9A7A-4523-A64D-8C113A62E6F1}"/>
            </a:ext>
          </a:extLst>
        </xdr:cNvPr>
        <xdr:cNvCxnSpPr/>
      </xdr:nvCxnSpPr>
      <xdr:spPr bwMode="auto">
        <a:xfrm flipV="1">
          <a:off x="2244369" y="9203933"/>
          <a:ext cx="1298075" cy="37244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15</xdr:col>
      <xdr:colOff>283503</xdr:colOff>
      <xdr:row>51</xdr:row>
      <xdr:rowOff>110233</xdr:rowOff>
    </xdr:from>
    <xdr:ext cx="2169065" cy="436786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854CD604-018F-4BB1-BF81-FE6D15BADD05}"/>
            </a:ext>
          </a:extLst>
        </xdr:cNvPr>
        <xdr:cNvSpPr txBox="1"/>
      </xdr:nvSpPr>
      <xdr:spPr>
        <a:xfrm>
          <a:off x="11681396" y="8832564"/>
          <a:ext cx="216906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renvoi</a:t>
          </a:r>
          <a:r>
            <a:rPr lang="fr-FR" sz="1100" b="1" baseline="0"/>
            <a:t> vers le détail du calcul</a:t>
          </a:r>
        </a:p>
        <a:p>
          <a:r>
            <a:rPr lang="fr-FR" sz="1100" b="1" baseline="0"/>
            <a:t>et des FDES utilisées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396198</xdr:colOff>
      <xdr:row>2</xdr:row>
      <xdr:rowOff>121735</xdr:rowOff>
    </xdr:from>
    <xdr:ext cx="3055709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FF43055-EC96-0B5B-B709-E2E76F85D475}"/>
            </a:ext>
          </a:extLst>
        </xdr:cNvPr>
        <xdr:cNvSpPr/>
      </xdr:nvSpPr>
      <xdr:spPr>
        <a:xfrm>
          <a:off x="8301948" y="44558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28</xdr:col>
      <xdr:colOff>329523</xdr:colOff>
      <xdr:row>2</xdr:row>
      <xdr:rowOff>140785</xdr:rowOff>
    </xdr:from>
    <xdr:ext cx="3055709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C2E0D0A-A4A7-424E-A81D-6BAFD2B52CB0}"/>
            </a:ext>
          </a:extLst>
        </xdr:cNvPr>
        <xdr:cNvSpPr/>
      </xdr:nvSpPr>
      <xdr:spPr>
        <a:xfrm>
          <a:off x="17455473" y="46463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43</xdr:col>
      <xdr:colOff>234273</xdr:colOff>
      <xdr:row>2</xdr:row>
      <xdr:rowOff>74110</xdr:rowOff>
    </xdr:from>
    <xdr:ext cx="3055709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C7C1A4F-A191-43EA-ACC1-B2548899A18D}"/>
            </a:ext>
          </a:extLst>
        </xdr:cNvPr>
        <xdr:cNvSpPr/>
      </xdr:nvSpPr>
      <xdr:spPr>
        <a:xfrm>
          <a:off x="25570773" y="397960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165604</xdr:colOff>
      <xdr:row>8</xdr:row>
      <xdr:rowOff>27314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4DF1658-E34D-F28A-4F94-1300BF767FBE}"/>
            </a:ext>
          </a:extLst>
        </xdr:cNvPr>
        <xdr:cNvSpPr/>
      </xdr:nvSpPr>
      <xdr:spPr>
        <a:xfrm>
          <a:off x="3975604" y="1352531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ED4ECC7-30B1-4AA5-B6B2-E0162E3A28E4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025884E-DA53-4EF3-BD50-51EE03035773}"/>
            </a:ext>
          </a:extLst>
        </xdr:cNvPr>
        <xdr:cNvSpPr/>
      </xdr:nvSpPr>
      <xdr:spPr>
        <a:xfrm>
          <a:off x="13515975" y="58959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361576</xdr:colOff>
      <xdr:row>94</xdr:row>
      <xdr:rowOff>204648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51DE4D5-4CFA-4E0D-AC70-529BD3D80A37}"/>
            </a:ext>
          </a:extLst>
        </xdr:cNvPr>
        <xdr:cNvSpPr/>
      </xdr:nvSpPr>
      <xdr:spPr>
        <a:xfrm>
          <a:off x="22675873" y="14125039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DFCFCEB-43AD-46C0-BB4F-5389F5CAB451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62</xdr:col>
      <xdr:colOff>297199</xdr:colOff>
      <xdr:row>94</xdr:row>
      <xdr:rowOff>152009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03A178-84DD-44CB-B976-1DF61F9E7535}"/>
            </a:ext>
          </a:extLst>
        </xdr:cNvPr>
        <xdr:cNvSpPr/>
      </xdr:nvSpPr>
      <xdr:spPr>
        <a:xfrm>
          <a:off x="36359677" y="15971792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667485</xdr:colOff>
      <xdr:row>0</xdr:row>
      <xdr:rowOff>159835</xdr:rowOff>
    </xdr:from>
    <xdr:ext cx="2284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1173E37-2287-4816-BE84-66BEB29CF7B5}"/>
            </a:ext>
          </a:extLst>
        </xdr:cNvPr>
        <xdr:cNvSpPr/>
      </xdr:nvSpPr>
      <xdr:spPr>
        <a:xfrm>
          <a:off x="5239485" y="159835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14</xdr:col>
      <xdr:colOff>4765</xdr:colOff>
      <xdr:row>51</xdr:row>
      <xdr:rowOff>57624</xdr:rowOff>
    </xdr:from>
    <xdr:ext cx="2284536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0101458-7A2A-4EC2-9132-63824A2F28B6}"/>
            </a:ext>
          </a:extLst>
        </xdr:cNvPr>
        <xdr:cNvSpPr/>
      </xdr:nvSpPr>
      <xdr:spPr>
        <a:xfrm>
          <a:off x="8928957" y="780950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25</xdr:col>
      <xdr:colOff>615097</xdr:colOff>
      <xdr:row>0</xdr:row>
      <xdr:rowOff>131259</xdr:rowOff>
    </xdr:from>
    <xdr:ext cx="2284536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46D9BE7-F4BE-4097-A626-62085D3C33BA}"/>
            </a:ext>
          </a:extLst>
        </xdr:cNvPr>
        <xdr:cNvSpPr/>
      </xdr:nvSpPr>
      <xdr:spPr>
        <a:xfrm>
          <a:off x="15855097" y="13125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42</xdr:col>
      <xdr:colOff>410310</xdr:colOff>
      <xdr:row>1</xdr:row>
      <xdr:rowOff>45534</xdr:rowOff>
    </xdr:from>
    <xdr:ext cx="228453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1602CB6-6252-48A9-A46B-BEA040D46195}"/>
            </a:ext>
          </a:extLst>
        </xdr:cNvPr>
        <xdr:cNvSpPr/>
      </xdr:nvSpPr>
      <xdr:spPr>
        <a:xfrm>
          <a:off x="25508685" y="212222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36</xdr:col>
      <xdr:colOff>86460</xdr:colOff>
      <xdr:row>52</xdr:row>
      <xdr:rowOff>55059</xdr:rowOff>
    </xdr:from>
    <xdr:ext cx="2284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F02A216-9BBF-44D2-A33F-4D9A57016EB7}"/>
            </a:ext>
          </a:extLst>
        </xdr:cNvPr>
        <xdr:cNvSpPr/>
      </xdr:nvSpPr>
      <xdr:spPr>
        <a:xfrm>
          <a:off x="21803460" y="8198934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620484</xdr:colOff>
      <xdr:row>0</xdr:row>
      <xdr:rowOff>159835</xdr:rowOff>
    </xdr:from>
    <xdr:ext cx="2378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289947-9937-4D7F-8A92-39625FCFB1CB}"/>
            </a:ext>
          </a:extLst>
        </xdr:cNvPr>
        <xdr:cNvSpPr/>
      </xdr:nvSpPr>
      <xdr:spPr>
        <a:xfrm>
          <a:off x="5192484" y="15983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24</xdr:col>
      <xdr:colOff>191859</xdr:colOff>
      <xdr:row>46</xdr:row>
      <xdr:rowOff>26485</xdr:rowOff>
    </xdr:from>
    <xdr:ext cx="2378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01608CF-6761-4D88-A173-F1C419AF278C}"/>
            </a:ext>
          </a:extLst>
        </xdr:cNvPr>
        <xdr:cNvSpPr/>
      </xdr:nvSpPr>
      <xdr:spPr>
        <a:xfrm>
          <a:off x="14765109" y="691306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200025</xdr:colOff>
      <xdr:row>2</xdr:row>
      <xdr:rowOff>38100</xdr:rowOff>
    </xdr:from>
    <xdr:ext cx="2378536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AA22730-1A60-4D2D-8BC2-0EA2A54AA35C}"/>
            </a:ext>
          </a:extLst>
        </xdr:cNvPr>
        <xdr:cNvSpPr/>
      </xdr:nvSpPr>
      <xdr:spPr>
        <a:xfrm>
          <a:off x="19383375" y="3619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2378536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7DE3F9F-408D-4125-B236-7B89EBD4AEF0}"/>
            </a:ext>
          </a:extLst>
        </xdr:cNvPr>
        <xdr:cNvSpPr/>
      </xdr:nvSpPr>
      <xdr:spPr>
        <a:xfrm>
          <a:off x="30460950" y="4857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104775</xdr:colOff>
      <xdr:row>46</xdr:row>
      <xdr:rowOff>142875</xdr:rowOff>
    </xdr:from>
    <xdr:ext cx="2378536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62E6AE35-B4DD-40F0-A10D-2C89D04B4CB3}"/>
            </a:ext>
          </a:extLst>
        </xdr:cNvPr>
        <xdr:cNvSpPr/>
      </xdr:nvSpPr>
      <xdr:spPr>
        <a:xfrm>
          <a:off x="31594425" y="70294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117199</xdr:colOff>
      <xdr:row>55</xdr:row>
      <xdr:rowOff>0</xdr:rowOff>
    </xdr:from>
    <xdr:ext cx="2378536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4C3C8A9E-020A-4883-AB6F-BB4E50B2E24C}"/>
            </a:ext>
          </a:extLst>
        </xdr:cNvPr>
        <xdr:cNvSpPr/>
      </xdr:nvSpPr>
      <xdr:spPr>
        <a:xfrm>
          <a:off x="31574547" y="14438657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66675</xdr:colOff>
      <xdr:row>55</xdr:row>
      <xdr:rowOff>0</xdr:rowOff>
    </xdr:from>
    <xdr:ext cx="2378536" cy="937629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E534C36-054C-4074-B26D-0C4F20B3FEB7}"/>
            </a:ext>
          </a:extLst>
        </xdr:cNvPr>
        <xdr:cNvSpPr/>
      </xdr:nvSpPr>
      <xdr:spPr>
        <a:xfrm>
          <a:off x="19250025" y="147351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438930</xdr:colOff>
      <xdr:row>0</xdr:row>
      <xdr:rowOff>159835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F72AD8-9459-4859-B3F5-986D77ED2DAB}"/>
            </a:ext>
          </a:extLst>
        </xdr:cNvPr>
        <xdr:cNvSpPr/>
      </xdr:nvSpPr>
      <xdr:spPr>
        <a:xfrm>
          <a:off x="5772930" y="15983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EE7B6BF-1F89-413A-A219-43CBDCDE8557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047B2B4-3790-4339-901F-9B6907B0B9C1}"/>
            </a:ext>
          </a:extLst>
        </xdr:cNvPr>
        <xdr:cNvSpPr/>
      </xdr:nvSpPr>
      <xdr:spPr>
        <a:xfrm>
          <a:off x="13515975" y="64674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39</xdr:col>
      <xdr:colOff>440951</xdr:colOff>
      <xdr:row>96</xdr:row>
      <xdr:rowOff>145117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242C013-0F93-4FF5-BD18-5727234C1553}"/>
            </a:ext>
          </a:extLst>
        </xdr:cNvPr>
        <xdr:cNvSpPr/>
      </xdr:nvSpPr>
      <xdr:spPr>
        <a:xfrm>
          <a:off x="23720051" y="14737417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A43E6C1-B8F4-41AC-9FA0-B78D2A8DD4B2}"/>
            </a:ext>
          </a:extLst>
        </xdr:cNvPr>
        <xdr:cNvSpPr/>
      </xdr:nvSpPr>
      <xdr:spPr>
        <a:xfrm>
          <a:off x="22257774" y="28439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1B0699F-9CBA-4C11-B8D4-A8A108CD33B3}"/>
            </a:ext>
          </a:extLst>
        </xdr:cNvPr>
        <xdr:cNvSpPr/>
      </xdr:nvSpPr>
      <xdr:spPr>
        <a:xfrm>
          <a:off x="35060964" y="1476543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692401</xdr:colOff>
      <xdr:row>6</xdr:row>
      <xdr:rowOff>36839</xdr:rowOff>
    </xdr:from>
    <xdr:ext cx="2583400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19C8D-1585-4D2C-8778-AE9C7FF05295}"/>
            </a:ext>
          </a:extLst>
        </xdr:cNvPr>
        <xdr:cNvSpPr/>
      </xdr:nvSpPr>
      <xdr:spPr>
        <a:xfrm>
          <a:off x="2978401" y="1008389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14</xdr:col>
      <xdr:colOff>73276</xdr:colOff>
      <xdr:row>44</xdr:row>
      <xdr:rowOff>46364</xdr:rowOff>
    </xdr:from>
    <xdr:ext cx="2583400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D9CAE9A-407A-4F00-91F9-8571D41FAF4B}"/>
            </a:ext>
          </a:extLst>
        </xdr:cNvPr>
        <xdr:cNvSpPr/>
      </xdr:nvSpPr>
      <xdr:spPr>
        <a:xfrm>
          <a:off x="9007726" y="7256789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42</xdr:col>
      <xdr:colOff>0</xdr:colOff>
      <xdr:row>3</xdr:row>
      <xdr:rowOff>152400</xdr:rowOff>
    </xdr:from>
    <xdr:ext cx="2583400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D6A17C47-771C-442E-9BD1-A1E0C154DE97}"/>
            </a:ext>
          </a:extLst>
        </xdr:cNvPr>
        <xdr:cNvSpPr/>
      </xdr:nvSpPr>
      <xdr:spPr>
        <a:xfrm>
          <a:off x="24822150" y="6381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43</xdr:col>
      <xdr:colOff>123825</xdr:colOff>
      <xdr:row>45</xdr:row>
      <xdr:rowOff>123825</xdr:rowOff>
    </xdr:from>
    <xdr:ext cx="2583400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6DCA536-ABF2-4A2A-8151-F80D186D9147}"/>
            </a:ext>
          </a:extLst>
        </xdr:cNvPr>
        <xdr:cNvSpPr/>
      </xdr:nvSpPr>
      <xdr:spPr>
        <a:xfrm>
          <a:off x="25460325" y="74961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44</xdr:col>
      <xdr:colOff>238125</xdr:colOff>
      <xdr:row>92</xdr:row>
      <xdr:rowOff>38100</xdr:rowOff>
    </xdr:from>
    <xdr:ext cx="2583400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5A1FA1F-C5FC-434C-9662-B8143C1EC6FE}"/>
            </a:ext>
          </a:extLst>
        </xdr:cNvPr>
        <xdr:cNvSpPr/>
      </xdr:nvSpPr>
      <xdr:spPr>
        <a:xfrm>
          <a:off x="26088975" y="151923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0</xdr:col>
      <xdr:colOff>476250</xdr:colOff>
      <xdr:row>89</xdr:row>
      <xdr:rowOff>0</xdr:rowOff>
    </xdr:from>
    <xdr:ext cx="2583400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7EDFA583-49C2-4122-AA31-E5439C2D2020}"/>
            </a:ext>
          </a:extLst>
        </xdr:cNvPr>
        <xdr:cNvSpPr/>
      </xdr:nvSpPr>
      <xdr:spPr>
        <a:xfrm>
          <a:off x="476250" y="14668500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image" Target="../media/image1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B40B-1FBC-44D4-A806-66C6210AD27D}">
  <sheetPr codeName="Feuil1">
    <pageSetUpPr fitToPage="1"/>
  </sheetPr>
  <dimension ref="G1:AQ52"/>
  <sheetViews>
    <sheetView showGridLines="0" showRowColHeaders="0" tabSelected="1" topLeftCell="B1" zoomScaleNormal="100" workbookViewId="0">
      <selection activeCell="S32" sqref="S32"/>
    </sheetView>
  </sheetViews>
  <sheetFormatPr baseColWidth="10" defaultRowHeight="12.75" x14ac:dyDescent="0.2"/>
  <cols>
    <col min="6" max="6" width="1.7109375" customWidth="1"/>
    <col min="8" max="8" width="14.7109375" customWidth="1"/>
    <col min="9" max="9" width="12.7109375" customWidth="1"/>
    <col min="10" max="10" width="13.42578125" customWidth="1"/>
    <col min="11" max="11" width="4.140625" customWidth="1"/>
    <col min="12" max="12" width="10.28515625" customWidth="1"/>
    <col min="18" max="18" width="3.42578125" customWidth="1"/>
    <col min="19" max="19" width="15" style="49" bestFit="1" customWidth="1"/>
    <col min="22" max="26" width="11.42578125" customWidth="1"/>
    <col min="27" max="43" width="11.42578125" hidden="1" customWidth="1"/>
    <col min="44" max="45" width="11.42578125" customWidth="1"/>
  </cols>
  <sheetData>
    <row r="1" spans="7:41" ht="13.5" thickBot="1" x14ac:dyDescent="0.25"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6"/>
      <c r="T1" s="105"/>
      <c r="U1" s="105"/>
    </row>
    <row r="2" spans="7:41" ht="13.5" thickTop="1" x14ac:dyDescent="0.2">
      <c r="G2" s="52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4"/>
      <c r="T2" s="53"/>
      <c r="U2" s="55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7:41" x14ac:dyDescent="0.2">
      <c r="G3" s="56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8"/>
      <c r="T3" s="57"/>
      <c r="U3" s="59"/>
      <c r="AB3" s="107"/>
      <c r="AC3" s="107"/>
      <c r="AD3" s="107"/>
      <c r="AE3" s="107"/>
      <c r="AF3" s="108"/>
      <c r="AG3" s="108"/>
      <c r="AH3" s="108"/>
      <c r="AI3" s="108"/>
      <c r="AJ3" s="108"/>
      <c r="AK3" s="108"/>
      <c r="AL3" s="107"/>
    </row>
    <row r="4" spans="7:41" x14ac:dyDescent="0.2">
      <c r="G4" s="56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8"/>
      <c r="T4" s="57"/>
      <c r="U4" s="59"/>
      <c r="AB4" s="107"/>
      <c r="AC4" s="107"/>
      <c r="AD4" s="107"/>
      <c r="AE4" s="107"/>
      <c r="AF4" s="107" t="str">
        <f>+HLOOKUP(AC22,AF6:AL7,2,FALSE)</f>
        <v>POLYSEAC</v>
      </c>
      <c r="AG4" s="108"/>
      <c r="AH4" s="108"/>
      <c r="AI4" s="108"/>
      <c r="AJ4" s="108"/>
      <c r="AK4" s="108"/>
      <c r="AL4" s="107"/>
    </row>
    <row r="5" spans="7:41" x14ac:dyDescent="0.2">
      <c r="G5" s="5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8"/>
      <c r="T5" s="57"/>
      <c r="U5" s="59"/>
      <c r="AB5" s="107"/>
      <c r="AC5" s="107"/>
      <c r="AD5" s="107"/>
      <c r="AE5" s="107"/>
      <c r="AF5" s="108"/>
      <c r="AG5" s="108"/>
      <c r="AH5" s="108"/>
      <c r="AI5" s="108"/>
      <c r="AJ5" s="108"/>
      <c r="AK5" s="108"/>
      <c r="AL5" s="107"/>
    </row>
    <row r="6" spans="7:41" x14ac:dyDescent="0.2">
      <c r="G6" s="56"/>
      <c r="H6" s="57" t="s">
        <v>130</v>
      </c>
      <c r="I6" s="57"/>
      <c r="J6" s="57"/>
      <c r="K6" s="57"/>
      <c r="L6" s="57"/>
      <c r="M6" s="57"/>
      <c r="N6" s="57"/>
      <c r="O6" s="57"/>
      <c r="P6" s="57"/>
      <c r="Q6" s="57"/>
      <c r="R6" s="57"/>
      <c r="S6" s="58"/>
      <c r="T6" s="57"/>
      <c r="U6" s="59"/>
      <c r="AB6" s="107"/>
      <c r="AC6" s="107"/>
      <c r="AD6" s="107"/>
      <c r="AE6" s="107"/>
      <c r="AF6" s="108">
        <v>1</v>
      </c>
      <c r="AG6" s="108">
        <v>2</v>
      </c>
      <c r="AH6" s="108">
        <v>3</v>
      </c>
      <c r="AI6" s="108">
        <v>4</v>
      </c>
      <c r="AJ6" s="108">
        <v>5</v>
      </c>
      <c r="AK6" s="108">
        <v>6</v>
      </c>
      <c r="AL6" s="107">
        <v>7</v>
      </c>
    </row>
    <row r="7" spans="7:41" x14ac:dyDescent="0.2">
      <c r="G7" s="56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8"/>
      <c r="T7" s="57"/>
      <c r="U7" s="59"/>
      <c r="AB7" s="107"/>
      <c r="AC7" s="107"/>
      <c r="AD7" s="107"/>
      <c r="AE7" s="107"/>
      <c r="AF7" s="107" t="s">
        <v>23</v>
      </c>
      <c r="AG7" s="107" t="s">
        <v>19</v>
      </c>
      <c r="AH7" s="107" t="s">
        <v>21</v>
      </c>
      <c r="AI7" s="107" t="s">
        <v>29</v>
      </c>
      <c r="AJ7" s="107" t="s">
        <v>19</v>
      </c>
      <c r="AK7" s="107" t="s">
        <v>55</v>
      </c>
      <c r="AL7" s="107" t="s">
        <v>321</v>
      </c>
      <c r="AO7">
        <v>11</v>
      </c>
    </row>
    <row r="8" spans="7:41" x14ac:dyDescent="0.2">
      <c r="G8" s="56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8"/>
      <c r="T8" s="57"/>
      <c r="U8" s="59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O8">
        <v>15</v>
      </c>
    </row>
    <row r="9" spans="7:41" ht="19.5" thickBot="1" x14ac:dyDescent="0.35">
      <c r="G9" s="56"/>
      <c r="H9" s="57"/>
      <c r="I9" s="60" t="s">
        <v>54</v>
      </c>
      <c r="J9" s="61"/>
      <c r="K9" s="57"/>
      <c r="L9" s="57"/>
      <c r="M9" s="57"/>
      <c r="N9" s="57"/>
      <c r="O9" s="57"/>
      <c r="P9" s="57"/>
      <c r="Q9" s="57"/>
      <c r="R9" s="57"/>
      <c r="S9" s="58"/>
      <c r="T9" s="57"/>
      <c r="U9" s="59"/>
      <c r="AB9" s="109" t="s">
        <v>20</v>
      </c>
      <c r="AC9" s="107" t="s">
        <v>90</v>
      </c>
      <c r="AD9" s="107"/>
      <c r="AE9" s="107"/>
      <c r="AF9" s="107">
        <v>12</v>
      </c>
      <c r="AG9" s="107">
        <v>12</v>
      </c>
      <c r="AH9" s="107">
        <v>12</v>
      </c>
      <c r="AI9" s="107" t="s">
        <v>56</v>
      </c>
      <c r="AJ9" s="107">
        <v>12</v>
      </c>
      <c r="AK9" s="107" t="s">
        <v>59</v>
      </c>
      <c r="AL9" s="107">
        <v>12</v>
      </c>
      <c r="AO9">
        <v>19</v>
      </c>
    </row>
    <row r="10" spans="7:41" ht="16.5" customHeight="1" thickTop="1" x14ac:dyDescent="0.25">
      <c r="G10" s="56"/>
      <c r="H10" s="57"/>
      <c r="I10" s="62"/>
      <c r="J10" s="57"/>
      <c r="K10" s="57"/>
      <c r="L10" s="57"/>
      <c r="M10" s="57"/>
      <c r="N10" s="57"/>
      <c r="O10" s="57"/>
      <c r="P10" s="57"/>
      <c r="Q10" s="63" t="s">
        <v>17</v>
      </c>
      <c r="R10" s="64"/>
      <c r="S10" s="50">
        <v>4</v>
      </c>
      <c r="T10" s="57" t="s">
        <v>62</v>
      </c>
      <c r="U10" s="59"/>
      <c r="AB10" s="107"/>
      <c r="AC10" s="107" t="s">
        <v>91</v>
      </c>
      <c r="AD10" s="107"/>
      <c r="AE10" s="107"/>
      <c r="AF10" s="107">
        <v>15</v>
      </c>
      <c r="AG10" s="107">
        <v>15</v>
      </c>
      <c r="AH10" s="107">
        <v>15</v>
      </c>
      <c r="AI10" s="107" t="s">
        <v>57</v>
      </c>
      <c r="AJ10" s="107">
        <v>15</v>
      </c>
      <c r="AK10" s="107">
        <v>15</v>
      </c>
      <c r="AL10" s="107">
        <v>15</v>
      </c>
      <c r="AO10">
        <v>23</v>
      </c>
    </row>
    <row r="11" spans="7:41" ht="5.0999999999999996" customHeight="1" thickBot="1" x14ac:dyDescent="0.25">
      <c r="G11" s="56"/>
      <c r="H11" s="57"/>
      <c r="I11" s="57"/>
      <c r="J11" s="57"/>
      <c r="K11" s="57"/>
      <c r="L11" s="57"/>
      <c r="M11" s="57"/>
      <c r="N11" s="57"/>
      <c r="O11" s="57"/>
      <c r="P11" s="57"/>
      <c r="Q11" s="63"/>
      <c r="R11" s="64"/>
      <c r="S11" s="57"/>
      <c r="T11" s="57"/>
      <c r="U11" s="59"/>
      <c r="AB11" s="107"/>
      <c r="AC11" s="107"/>
      <c r="AD11" s="107"/>
      <c r="AE11" s="107"/>
      <c r="AF11" s="107">
        <v>20</v>
      </c>
      <c r="AG11" s="107">
        <v>20</v>
      </c>
      <c r="AH11" s="107" t="s">
        <v>59</v>
      </c>
      <c r="AI11" s="107" t="s">
        <v>58</v>
      </c>
      <c r="AJ11" s="107">
        <v>20</v>
      </c>
      <c r="AK11" s="110" t="s">
        <v>60</v>
      </c>
      <c r="AL11" s="107">
        <v>20</v>
      </c>
      <c r="AO11">
        <v>27</v>
      </c>
    </row>
    <row r="12" spans="7:41" ht="16.5" customHeight="1" thickTop="1" x14ac:dyDescent="0.2"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63" t="s">
        <v>18</v>
      </c>
      <c r="R12" s="64"/>
      <c r="S12" s="51">
        <v>150</v>
      </c>
      <c r="T12" s="57" t="str">
        <f>+IF(S12&gt;500,"charge max 500kg/m²","kg/m²")</f>
        <v>kg/m²</v>
      </c>
      <c r="U12" s="59"/>
      <c r="AB12" s="109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O12">
        <v>30</v>
      </c>
    </row>
    <row r="13" spans="7:41" ht="5.0999999999999996" customHeight="1" thickBot="1" x14ac:dyDescent="0.25">
      <c r="G13" s="56"/>
      <c r="H13" s="57"/>
      <c r="I13" s="57"/>
      <c r="J13" s="57"/>
      <c r="K13" s="57"/>
      <c r="L13" s="57"/>
      <c r="M13" s="57"/>
      <c r="N13" s="57"/>
      <c r="O13" s="57"/>
      <c r="P13" s="57"/>
      <c r="Q13" s="65"/>
      <c r="R13" s="57"/>
      <c r="S13" s="57"/>
      <c r="T13" s="57"/>
      <c r="U13" s="59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O13">
        <v>30</v>
      </c>
    </row>
    <row r="14" spans="7:41" ht="16.5" customHeight="1" thickTop="1" x14ac:dyDescent="0.2">
      <c r="G14" s="56"/>
      <c r="H14" s="57"/>
      <c r="I14" s="57"/>
      <c r="J14" s="57"/>
      <c r="K14" s="57"/>
      <c r="L14" s="57"/>
      <c r="M14" s="57"/>
      <c r="N14" s="57"/>
      <c r="O14" s="57"/>
      <c r="P14" s="64"/>
      <c r="Q14" s="63" t="s">
        <v>31</v>
      </c>
      <c r="R14" s="57"/>
      <c r="S14" s="51">
        <v>250</v>
      </c>
      <c r="T14" s="57" t="s">
        <v>63</v>
      </c>
      <c r="U14" s="59"/>
      <c r="AB14" s="107"/>
      <c r="AC14" s="107"/>
      <c r="AD14" s="107"/>
      <c r="AE14" s="107">
        <v>30</v>
      </c>
      <c r="AF14" s="129" t="s">
        <v>322</v>
      </c>
      <c r="AG14" s="107"/>
      <c r="AH14" s="107" t="s">
        <v>30</v>
      </c>
      <c r="AI14" s="107"/>
      <c r="AJ14" s="107"/>
      <c r="AK14" s="107"/>
      <c r="AL14" s="107"/>
    </row>
    <row r="15" spans="7:41" x14ac:dyDescent="0.2">
      <c r="G15" s="56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7"/>
      <c r="U15" s="59"/>
      <c r="AB15" s="109" t="s">
        <v>22</v>
      </c>
      <c r="AC15" s="107">
        <v>2</v>
      </c>
      <c r="AD15" s="107" t="str">
        <f>+IF(AC15=1,"AL","1C")</f>
        <v>1C</v>
      </c>
      <c r="AE15" s="107">
        <f>+IF(AC22&gt;6,"",60)</f>
        <v>60</v>
      </c>
      <c r="AF15" s="129">
        <f>+HLOOKUP(AF4,AF7:AL10,3,FALSE)</f>
        <v>12</v>
      </c>
      <c r="AG15" s="107"/>
      <c r="AH15" s="107">
        <v>5</v>
      </c>
      <c r="AI15" s="107"/>
      <c r="AJ15" s="107"/>
      <c r="AK15" s="107"/>
      <c r="AL15" s="107"/>
    </row>
    <row r="16" spans="7:41" x14ac:dyDescent="0.2">
      <c r="G16" s="56"/>
      <c r="H16" s="66" t="s">
        <v>23</v>
      </c>
      <c r="I16" s="66" t="s">
        <v>19</v>
      </c>
      <c r="J16" s="63" t="s">
        <v>21</v>
      </c>
      <c r="K16" s="57"/>
      <c r="L16" s="63" t="s">
        <v>29</v>
      </c>
      <c r="M16" s="57"/>
      <c r="N16" s="57"/>
      <c r="O16" s="57"/>
      <c r="P16" s="57"/>
      <c r="Q16" s="57"/>
      <c r="R16" s="57"/>
      <c r="S16" s="58"/>
      <c r="T16" s="57"/>
      <c r="U16" s="59"/>
      <c r="AB16" s="107"/>
      <c r="AC16" s="107"/>
      <c r="AD16" s="107"/>
      <c r="AE16" s="107"/>
      <c r="AF16" s="129">
        <f>+HLOOKUP(AF4,AF7:AL11,4,FALSE)</f>
        <v>15</v>
      </c>
      <c r="AG16" s="107"/>
      <c r="AH16" s="107">
        <v>6</v>
      </c>
      <c r="AI16" s="107"/>
      <c r="AJ16" s="107"/>
      <c r="AK16" s="107"/>
      <c r="AL16" s="107"/>
    </row>
    <row r="17" spans="7:38" x14ac:dyDescent="0.2">
      <c r="G17" s="56"/>
      <c r="H17" s="119" t="s">
        <v>272</v>
      </c>
      <c r="I17" s="57"/>
      <c r="J17" s="57"/>
      <c r="K17" s="57"/>
      <c r="L17" s="119" t="s">
        <v>272</v>
      </c>
      <c r="M17" s="57"/>
      <c r="N17" s="57"/>
      <c r="O17" s="57"/>
      <c r="P17" s="57"/>
      <c r="Q17" s="63" t="s">
        <v>166</v>
      </c>
      <c r="R17" s="66"/>
      <c r="S17" s="66"/>
      <c r="T17" s="57"/>
      <c r="U17" s="59"/>
      <c r="AB17" s="109" t="s">
        <v>86</v>
      </c>
      <c r="AC17" s="107">
        <v>1</v>
      </c>
      <c r="AD17" s="107"/>
      <c r="AE17" s="107"/>
      <c r="AF17" s="129">
        <f>+HLOOKUP(AF4,AF7:AL11,5,FALSE)</f>
        <v>20</v>
      </c>
      <c r="AG17" s="107"/>
      <c r="AH17" s="107">
        <v>7</v>
      </c>
      <c r="AI17" s="107"/>
      <c r="AJ17" s="107"/>
      <c r="AK17" s="107"/>
      <c r="AL17" s="107"/>
    </row>
    <row r="18" spans="7:38" ht="13.5" thickBot="1" x14ac:dyDescent="0.25">
      <c r="G18" s="56"/>
      <c r="H18" s="150">
        <v>23</v>
      </c>
      <c r="I18" s="57"/>
      <c r="J18" s="57"/>
      <c r="K18" s="57"/>
      <c r="L18" s="150">
        <v>15</v>
      </c>
      <c r="M18" s="57"/>
      <c r="N18" s="66"/>
      <c r="O18" s="57"/>
      <c r="P18" s="57"/>
      <c r="Q18" s="66"/>
      <c r="R18" s="66"/>
      <c r="S18" s="66"/>
      <c r="T18" s="57"/>
      <c r="U18" s="59"/>
      <c r="AB18" s="107"/>
      <c r="AC18" s="107" t="b">
        <v>1</v>
      </c>
      <c r="AD18" s="107"/>
      <c r="AE18" s="107"/>
      <c r="AF18" s="107"/>
      <c r="AG18" s="107"/>
      <c r="AH18" s="107">
        <v>8</v>
      </c>
      <c r="AI18" s="107"/>
      <c r="AJ18" s="107"/>
      <c r="AK18" s="107"/>
      <c r="AL18" s="107"/>
    </row>
    <row r="19" spans="7:38" ht="16.5" customHeight="1" thickTop="1" x14ac:dyDescent="0.3">
      <c r="G19" s="56"/>
      <c r="H19" s="67" t="s">
        <v>95</v>
      </c>
      <c r="I19" s="67"/>
      <c r="J19" s="128" t="s">
        <v>320</v>
      </c>
      <c r="K19" s="57"/>
      <c r="L19" s="57"/>
      <c r="M19" s="57"/>
      <c r="N19" s="57"/>
      <c r="O19" s="57"/>
      <c r="P19" s="57"/>
      <c r="Q19" s="65" t="s">
        <v>20</v>
      </c>
      <c r="R19" s="57"/>
      <c r="S19" s="51" t="s">
        <v>91</v>
      </c>
      <c r="T19" s="57"/>
      <c r="U19" s="59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</row>
    <row r="20" spans="7:38" ht="16.5" customHeight="1" x14ac:dyDescent="0.3">
      <c r="G20" s="56"/>
      <c r="H20" s="66"/>
      <c r="I20" s="66"/>
      <c r="J20" s="63"/>
      <c r="K20" s="57"/>
      <c r="L20" s="68" t="s">
        <v>61</v>
      </c>
      <c r="M20" s="65"/>
      <c r="N20" s="57"/>
      <c r="O20" s="57"/>
      <c r="P20" s="57"/>
      <c r="Q20" s="57"/>
      <c r="R20" s="57"/>
      <c r="S20" s="58"/>
      <c r="T20" s="57"/>
      <c r="U20" s="59"/>
      <c r="AB20" s="107" t="s">
        <v>126</v>
      </c>
      <c r="AC20" s="107" t="b">
        <v>1</v>
      </c>
      <c r="AD20" s="107"/>
      <c r="AE20" s="107"/>
      <c r="AF20" s="107"/>
      <c r="AG20" s="107"/>
      <c r="AH20" s="107" t="s">
        <v>32</v>
      </c>
      <c r="AI20" s="107"/>
      <c r="AJ20" s="107" t="s">
        <v>33</v>
      </c>
      <c r="AK20" s="107">
        <f t="array" ref="AK20">+MIN(IF(AJ21:AJ29&gt;S12,AJ21:AJ29))</f>
        <v>151</v>
      </c>
      <c r="AL20" s="107"/>
    </row>
    <row r="21" spans="7:38" ht="15.75" thickBot="1" x14ac:dyDescent="0.35">
      <c r="G21" s="56"/>
      <c r="H21" s="66"/>
      <c r="I21" s="66"/>
      <c r="J21" s="63"/>
      <c r="K21" s="57"/>
      <c r="L21" s="127">
        <v>30</v>
      </c>
      <c r="M21" s="65"/>
      <c r="N21" s="57"/>
      <c r="O21" s="57"/>
      <c r="P21" s="57"/>
      <c r="Q21" s="65" t="s">
        <v>101</v>
      </c>
      <c r="R21" s="57"/>
      <c r="S21" s="58"/>
      <c r="T21" s="57"/>
      <c r="U21" s="59"/>
      <c r="AB21" s="107"/>
      <c r="AC21" s="107"/>
      <c r="AD21" s="107"/>
      <c r="AE21" s="107"/>
      <c r="AF21" s="107"/>
      <c r="AG21" s="107"/>
      <c r="AH21" s="107"/>
      <c r="AI21" s="107"/>
      <c r="AJ21" s="107">
        <v>51</v>
      </c>
      <c r="AK21" s="107"/>
      <c r="AL21" s="107"/>
    </row>
    <row r="22" spans="7:38" ht="15.75" customHeight="1" thickTop="1" x14ac:dyDescent="0.3">
      <c r="G22" s="56"/>
      <c r="H22" s="57"/>
      <c r="I22" s="57"/>
      <c r="J22" s="57"/>
      <c r="K22" s="57"/>
      <c r="L22" s="82">
        <v>30</v>
      </c>
      <c r="M22" s="57"/>
      <c r="N22" s="57"/>
      <c r="O22" s="57"/>
      <c r="P22" s="57"/>
      <c r="Q22" s="57"/>
      <c r="R22" s="57"/>
      <c r="S22" s="58"/>
      <c r="T22" s="57"/>
      <c r="U22" s="59"/>
      <c r="AB22" s="109" t="s">
        <v>26</v>
      </c>
      <c r="AC22" s="107">
        <v>1</v>
      </c>
      <c r="AD22" s="107" t="e">
        <f>+HLOOKUP(AC22,AF3:AL7,2,FALSE)</f>
        <v>#N/A</v>
      </c>
      <c r="AE22" s="107"/>
      <c r="AF22" s="107"/>
      <c r="AG22" s="107"/>
      <c r="AH22" s="107">
        <v>150</v>
      </c>
      <c r="AI22" s="107"/>
      <c r="AJ22" s="107">
        <v>101</v>
      </c>
      <c r="AK22" s="107"/>
      <c r="AL22" s="107"/>
    </row>
    <row r="23" spans="7:38" ht="15.95" customHeight="1" thickBot="1" x14ac:dyDescent="0.35">
      <c r="G23" s="56"/>
      <c r="H23" s="57"/>
      <c r="I23" s="57"/>
      <c r="J23" s="57"/>
      <c r="K23" s="57"/>
      <c r="L23" s="57"/>
      <c r="M23" s="57"/>
      <c r="N23" s="57"/>
      <c r="O23" s="57"/>
      <c r="P23" s="57"/>
      <c r="Q23" s="226" t="s">
        <v>158</v>
      </c>
      <c r="R23" s="226"/>
      <c r="S23" s="226"/>
      <c r="T23" s="57"/>
      <c r="U23" s="59"/>
      <c r="AB23" s="107" t="s">
        <v>159</v>
      </c>
      <c r="AC23" s="107"/>
      <c r="AD23" s="107"/>
      <c r="AE23" s="107"/>
      <c r="AF23" s="107"/>
      <c r="AG23" s="107"/>
      <c r="AH23" s="107">
        <v>250</v>
      </c>
      <c r="AI23" s="107"/>
      <c r="AJ23" s="107">
        <v>151</v>
      </c>
      <c r="AK23" s="107"/>
      <c r="AL23" s="107"/>
    </row>
    <row r="24" spans="7:38" ht="19.5" thickTop="1" x14ac:dyDescent="0.2">
      <c r="G24" s="56"/>
      <c r="H24" s="75" t="s">
        <v>319</v>
      </c>
      <c r="I24" s="66" t="s">
        <v>160</v>
      </c>
      <c r="J24" s="63"/>
      <c r="K24" s="63" t="s">
        <v>362</v>
      </c>
      <c r="L24" s="57"/>
      <c r="M24" s="57"/>
      <c r="N24" s="57"/>
      <c r="O24" s="57"/>
      <c r="P24" s="220" t="str">
        <f>IF($AC$17=1,+HLOOKUP($AC$22,AC41:AI45,3,FALSE),+HLOOKUP($AC$22,AC41:AI51,9,FALSE))</f>
        <v>plancher POLYSEAC 12+5 UP23</v>
      </c>
      <c r="Q24" s="221"/>
      <c r="R24" s="221"/>
      <c r="S24" s="221"/>
      <c r="T24" s="221"/>
      <c r="U24" s="59"/>
      <c r="AB24" s="107"/>
      <c r="AC24" s="107"/>
      <c r="AD24" s="107"/>
      <c r="AE24" s="107"/>
      <c r="AF24" s="107"/>
      <c r="AG24" s="107"/>
      <c r="AH24" s="107">
        <v>400</v>
      </c>
      <c r="AI24" s="107"/>
      <c r="AJ24" s="107">
        <v>201</v>
      </c>
      <c r="AK24" s="107"/>
      <c r="AL24" s="107"/>
    </row>
    <row r="25" spans="7:38" ht="16.5" customHeight="1" x14ac:dyDescent="0.2">
      <c r="G25" s="56"/>
      <c r="H25" s="57"/>
      <c r="I25" s="57"/>
      <c r="J25" s="57"/>
      <c r="K25" s="57"/>
      <c r="L25" s="57"/>
      <c r="M25" s="57"/>
      <c r="N25" s="57"/>
      <c r="O25" s="66"/>
      <c r="P25" s="69"/>
      <c r="Q25" s="222" t="str">
        <f>IF(AC22=5,"pose AVEC étai",+IF(AC22=6, "pose AVEC étai",+IF(AC22=7,"pose AVEC étai",+IF(S19="avec etai","pose AVEC étai","pose SANS étai"))))</f>
        <v>pose SANS étai</v>
      </c>
      <c r="R25" s="222"/>
      <c r="S25" s="222"/>
      <c r="T25" s="70"/>
      <c r="U25" s="59"/>
      <c r="AB25" s="121" t="s">
        <v>279</v>
      </c>
      <c r="AC25" s="107"/>
      <c r="AD25" s="107"/>
      <c r="AE25" s="107"/>
      <c r="AF25" s="107"/>
      <c r="AG25" s="107"/>
      <c r="AH25" s="107"/>
      <c r="AI25" s="107"/>
      <c r="AJ25" s="107">
        <v>251</v>
      </c>
      <c r="AK25" s="107"/>
      <c r="AL25" s="107"/>
    </row>
    <row r="26" spans="7:38" x14ac:dyDescent="0.2">
      <c r="G26" s="56"/>
      <c r="H26" s="57"/>
      <c r="I26" s="57"/>
      <c r="J26" s="57"/>
      <c r="K26" s="57"/>
      <c r="L26" s="57"/>
      <c r="M26" s="71" t="s">
        <v>145</v>
      </c>
      <c r="N26" s="57"/>
      <c r="O26" s="57"/>
      <c r="P26" s="229" t="s">
        <v>92</v>
      </c>
      <c r="Q26" s="228"/>
      <c r="R26" s="228"/>
      <c r="S26" s="72">
        <f>IF($AC$17=1,+HLOOKUP($AC$22,AC41:AI45,4,FALSE),+HLOOKUP($AC$22,AC41:AI51,10,FALSE))</f>
        <v>170</v>
      </c>
      <c r="T26" s="73"/>
      <c r="U26" s="59"/>
      <c r="AB26" s="109" t="s">
        <v>88</v>
      </c>
      <c r="AC26" s="107">
        <v>1</v>
      </c>
      <c r="AD26" s="107">
        <v>2</v>
      </c>
      <c r="AE26" s="107">
        <v>3</v>
      </c>
      <c r="AF26" s="107">
        <v>4</v>
      </c>
      <c r="AG26" s="107">
        <v>5</v>
      </c>
      <c r="AH26" s="107">
        <v>6</v>
      </c>
      <c r="AI26" s="107">
        <v>7</v>
      </c>
      <c r="AJ26" s="107">
        <v>301</v>
      </c>
      <c r="AK26" s="107"/>
      <c r="AL26" s="107"/>
    </row>
    <row r="27" spans="7:38" ht="15.75" x14ac:dyDescent="0.25">
      <c r="G27" s="56"/>
      <c r="H27" s="57"/>
      <c r="I27" s="62"/>
      <c r="J27" s="57"/>
      <c r="K27" s="57"/>
      <c r="L27" s="57"/>
      <c r="M27" s="71" t="s">
        <v>146</v>
      </c>
      <c r="N27" s="57"/>
      <c r="O27" s="57"/>
      <c r="P27" s="74"/>
      <c r="Q27" s="228" t="s">
        <v>73</v>
      </c>
      <c r="R27" s="228"/>
      <c r="S27" s="72">
        <f>IF($AC$17=1,+HLOOKUP($AC$22,AC41:AI46,5,FALSE),+HLOOKUP($AC$22,AC41:AI51,11,FALSE))</f>
        <v>60</v>
      </c>
      <c r="T27" s="73"/>
      <c r="U27" s="59"/>
      <c r="AB27" s="107" t="s">
        <v>64</v>
      </c>
      <c r="AC27" s="107">
        <f>+polyseac!G50</f>
        <v>4.7</v>
      </c>
      <c r="AD27" s="107">
        <f>+ebsvs!G50</f>
        <v>4.5</v>
      </c>
      <c r="AE27" s="107">
        <f>+plastivs!G50</f>
        <v>5.05</v>
      </c>
      <c r="AF27" s="107" t="str">
        <f>+seacisol!G50</f>
        <v>non disponible</v>
      </c>
      <c r="AG27" s="107">
        <f>+ebset!G50</f>
        <v>5.05</v>
      </c>
      <c r="AH27" s="107">
        <f>+ebset!G50</f>
        <v>5.05</v>
      </c>
      <c r="AI27" s="107">
        <f>+seacbois!G50</f>
        <v>5.05</v>
      </c>
      <c r="AJ27" s="107">
        <v>401</v>
      </c>
      <c r="AK27" s="107"/>
      <c r="AL27" s="107"/>
    </row>
    <row r="28" spans="7:38" ht="15" customHeight="1" x14ac:dyDescent="0.2">
      <c r="G28" s="56"/>
      <c r="H28" s="57"/>
      <c r="I28" s="66"/>
      <c r="J28" s="65"/>
      <c r="K28" s="57"/>
      <c r="L28" s="57"/>
      <c r="M28" s="71" t="s">
        <v>147</v>
      </c>
      <c r="N28" s="57"/>
      <c r="O28" s="57"/>
      <c r="P28" s="126" t="s">
        <v>317</v>
      </c>
      <c r="Q28" s="125"/>
      <c r="R28" s="124"/>
      <c r="S28" s="140">
        <f>IF($AC$17=1,+HLOOKUP($AC$22,AC41:AI46,6,FALSE),+HLOOKUP($AC$22,AC41:AI52,12,FALSE))</f>
        <v>29.43</v>
      </c>
      <c r="T28" s="83"/>
      <c r="U28" s="59"/>
      <c r="AB28" s="107" t="s">
        <v>71</v>
      </c>
      <c r="AC28" s="107">
        <f>+polyseac!G51</f>
        <v>170</v>
      </c>
      <c r="AD28" s="107">
        <f>+ebsvs!G51</f>
        <v>179</v>
      </c>
      <c r="AE28" s="107">
        <f>+plastivs!G51</f>
        <v>194</v>
      </c>
      <c r="AF28" s="107">
        <f>+seacisol!G51</f>
        <v>0</v>
      </c>
      <c r="AG28" s="107">
        <f>+ebset!G51</f>
        <v>188</v>
      </c>
      <c r="AH28" s="107">
        <f>+ebset!G51</f>
        <v>188</v>
      </c>
      <c r="AI28" s="107">
        <f>+seacbois!G51</f>
        <v>186</v>
      </c>
      <c r="AJ28" s="107">
        <v>501</v>
      </c>
      <c r="AK28" s="107"/>
      <c r="AL28" s="107"/>
    </row>
    <row r="29" spans="7:38" ht="20.100000000000001" customHeight="1" x14ac:dyDescent="0.25">
      <c r="G29" s="56"/>
      <c r="H29" s="57"/>
      <c r="I29" s="66"/>
      <c r="J29" s="65"/>
      <c r="K29" s="57"/>
      <c r="L29" s="57"/>
      <c r="M29" s="71" t="s">
        <v>148</v>
      </c>
      <c r="N29" s="57"/>
      <c r="O29" s="57"/>
      <c r="P29" s="227"/>
      <c r="Q29" s="227"/>
      <c r="R29" s="227"/>
      <c r="S29" s="227"/>
      <c r="T29" s="227"/>
      <c r="U29" s="59"/>
      <c r="AB29" s="107" t="s">
        <v>72</v>
      </c>
      <c r="AC29" s="107">
        <f>+polyseac!G52</f>
        <v>60</v>
      </c>
      <c r="AD29" s="107">
        <f>+ebsvs!G52</f>
        <v>61</v>
      </c>
      <c r="AE29" s="107">
        <f>+plastivs!G52</f>
        <v>68.5</v>
      </c>
      <c r="AF29" s="107">
        <f>+seacisol!G52</f>
        <v>0</v>
      </c>
      <c r="AG29" s="107">
        <f>+ebset!G52</f>
        <v>62.5</v>
      </c>
      <c r="AH29" s="107">
        <f>+ebset!G52</f>
        <v>62.5</v>
      </c>
      <c r="AI29" s="107">
        <f>+seacbois!G52</f>
        <v>62</v>
      </c>
      <c r="AJ29" s="107"/>
      <c r="AK29" s="107"/>
      <c r="AL29" s="107"/>
    </row>
    <row r="30" spans="7:38" ht="19.5" customHeight="1" x14ac:dyDescent="0.25">
      <c r="G30" s="56"/>
      <c r="H30" s="57"/>
      <c r="I30" s="57"/>
      <c r="J30" s="57"/>
      <c r="K30" s="57"/>
      <c r="L30" s="57"/>
      <c r="M30" s="57"/>
      <c r="N30" s="57"/>
      <c r="O30" s="57"/>
      <c r="P30" s="227" t="s">
        <v>323</v>
      </c>
      <c r="Q30" s="227"/>
      <c r="R30" s="227"/>
      <c r="S30" s="227"/>
      <c r="T30" s="227"/>
      <c r="U30" s="59"/>
      <c r="AB30" s="107" t="s">
        <v>274</v>
      </c>
      <c r="AC30" s="107">
        <f>+polyseac!G53</f>
        <v>29.08</v>
      </c>
      <c r="AD30">
        <f>+ebsvs!G53</f>
        <v>15.19</v>
      </c>
      <c r="AE30" s="107">
        <f>+plastivs!G53</f>
        <v>23.27</v>
      </c>
      <c r="AF30" s="107">
        <f>+seacisol!G53</f>
        <v>0</v>
      </c>
      <c r="AG30" s="107">
        <f>+ebset!G53</f>
        <v>14.85</v>
      </c>
      <c r="AH30" s="107">
        <f>+ebset!G53</f>
        <v>14.85</v>
      </c>
      <c r="AI30" s="107">
        <f>+seacbois!G53</f>
        <v>23.03</v>
      </c>
      <c r="AK30" s="107"/>
      <c r="AL30" s="107"/>
    </row>
    <row r="31" spans="7:38" ht="16.5" customHeight="1" thickBot="1" x14ac:dyDescent="0.25">
      <c r="G31" s="56"/>
      <c r="H31" s="57"/>
      <c r="I31" s="57"/>
      <c r="J31" s="57"/>
      <c r="K31" s="57"/>
      <c r="L31" s="57"/>
      <c r="M31" s="57"/>
      <c r="N31" s="57"/>
      <c r="O31" s="57"/>
      <c r="P31" s="57"/>
      <c r="Q31" s="63" t="s">
        <v>27</v>
      </c>
      <c r="R31" s="57"/>
      <c r="S31" s="75" t="s">
        <v>28</v>
      </c>
      <c r="T31" s="57"/>
      <c r="U31" s="59"/>
      <c r="AB31" s="107" t="s">
        <v>65</v>
      </c>
      <c r="AC31" s="107" t="str">
        <f>IF(Q32&gt;20,"hauteur hourdis non disponible",+"plancher"&amp;" "&amp;"POLYSEAC"&amp;" "&amp;Q32&amp;" "&amp;"+" &amp;" "&amp;S32&amp;" "&amp;"UP"&amp;H18)</f>
        <v>plancher POLYSEAC 12 + 5 UP23</v>
      </c>
      <c r="AD31" s="107" t="str">
        <f>IF(Q32&gt;20,"hauteur hourdis non disponible",+"plancher"&amp;" "&amp;"EBS"&amp;" "&amp;Q32&amp;" "&amp;"+" &amp;" "&amp;S32)</f>
        <v>plancher EBS 12 + 5</v>
      </c>
      <c r="AE31" s="107" t="str">
        <f>IF(Q32&gt;15,"hauteur hourdis non disponible",+"plancher"&amp;" "&amp;"PLASTIVS"&amp;" "&amp;Q32&amp;" "&amp;"+" &amp;" "&amp;S32)</f>
        <v>plancher PLASTIVS 12 + 5</v>
      </c>
      <c r="AF31" s="107" t="str">
        <f>+seacisol!G45</f>
        <v>choisir un seacisol</v>
      </c>
      <c r="AG31" s="107" t="str">
        <f>+ebset!G45</f>
        <v>plancher EBS 12 + 5</v>
      </c>
      <c r="AH31" s="107" t="str">
        <f>+ebset!B44</f>
        <v xml:space="preserve">predal-seacoustic hauteur hourdis 15 mini </v>
      </c>
      <c r="AI31" s="107" t="str">
        <f>IF(Q32&gt;20,"hauteur hourdis non disponible",+"plancher"&amp;" "&amp;"seacbois"&amp;" "&amp;Q32&amp;" "&amp;"+" &amp;" "&amp;S32)</f>
        <v>plancher seacbois 12 + 5</v>
      </c>
      <c r="AJ31" s="107"/>
      <c r="AK31" s="107"/>
      <c r="AL31" s="107"/>
    </row>
    <row r="32" spans="7:38" ht="18" customHeight="1" thickTop="1" x14ac:dyDescent="0.35">
      <c r="G32" s="76">
        <f>+AC22</f>
        <v>1</v>
      </c>
      <c r="H32" s="57"/>
      <c r="I32" s="57"/>
      <c r="J32" s="57"/>
      <c r="K32" s="57"/>
      <c r="L32" s="57"/>
      <c r="M32" s="57"/>
      <c r="N32" s="57"/>
      <c r="O32" s="57"/>
      <c r="P32" s="57"/>
      <c r="Q32" s="218">
        <v>12</v>
      </c>
      <c r="R32" s="130" t="s">
        <v>53</v>
      </c>
      <c r="S32" s="218">
        <v>5</v>
      </c>
      <c r="T32" s="57"/>
      <c r="U32" s="59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</row>
    <row r="33" spans="7:38" x14ac:dyDescent="0.2">
      <c r="G33" s="56"/>
      <c r="H33" s="57"/>
      <c r="I33" s="57"/>
      <c r="J33" s="57"/>
      <c r="K33" s="57"/>
      <c r="L33" s="57"/>
      <c r="M33" s="57"/>
      <c r="N33" s="57"/>
      <c r="O33" s="57"/>
      <c r="P33" s="138"/>
      <c r="Q33" s="64"/>
      <c r="R33" s="64"/>
      <c r="S33" s="131"/>
      <c r="T33" s="57"/>
      <c r="U33" s="59"/>
      <c r="AB33" s="109" t="s">
        <v>89</v>
      </c>
      <c r="AC33" s="107">
        <v>1</v>
      </c>
      <c r="AD33" s="107">
        <v>2</v>
      </c>
      <c r="AE33" s="107">
        <v>3</v>
      </c>
      <c r="AF33" s="107">
        <v>4</v>
      </c>
      <c r="AG33" s="107">
        <v>5</v>
      </c>
      <c r="AH33" s="107">
        <v>6</v>
      </c>
      <c r="AI33" s="107">
        <v>7</v>
      </c>
      <c r="AJ33" s="107"/>
      <c r="AK33" s="107"/>
      <c r="AL33" s="107"/>
    </row>
    <row r="34" spans="7:38" ht="15.75" x14ac:dyDescent="0.25">
      <c r="G34" s="56"/>
      <c r="H34" s="57"/>
      <c r="I34" s="57"/>
      <c r="J34" s="57"/>
      <c r="K34" s="57"/>
      <c r="L34" s="57"/>
      <c r="M34" s="57"/>
      <c r="N34" s="57"/>
      <c r="O34" s="57"/>
      <c r="P34" s="230" t="s">
        <v>324</v>
      </c>
      <c r="Q34" s="230"/>
      <c r="R34" s="230"/>
      <c r="S34" s="219">
        <f>IF(AC17=1,+HLOOKUP(AC22,AC26:AI27,2,FALSE),+HLOOKUP(AC22,AC33:AI34,2,FALSE))</f>
        <v>4.7</v>
      </c>
      <c r="T34" s="57"/>
      <c r="U34" s="59"/>
      <c r="AB34" s="107" t="s">
        <v>64</v>
      </c>
      <c r="AC34" s="107" t="s">
        <v>94</v>
      </c>
      <c r="AD34" s="107">
        <f>+ebsvs!G96</f>
        <v>6.3</v>
      </c>
      <c r="AE34" s="107">
        <f>+plastivs!G96</f>
        <v>6.25</v>
      </c>
      <c r="AF34" s="107" t="s">
        <v>94</v>
      </c>
      <c r="AG34" s="107" t="str">
        <f>+ebset!G96</f>
        <v>"non disponible en 12"</v>
      </c>
      <c r="AH34" s="107" t="str">
        <f>+ebset!G96</f>
        <v>"non disponible en 12"</v>
      </c>
      <c r="AI34" s="107">
        <f>+seacbois!G96</f>
        <v>6.25</v>
      </c>
      <c r="AJ34" s="107"/>
      <c r="AK34" s="107"/>
      <c r="AL34" s="107"/>
    </row>
    <row r="35" spans="7:38" ht="13.5" thickBot="1" x14ac:dyDescent="0.25">
      <c r="G35" s="56"/>
      <c r="H35" s="57"/>
      <c r="I35" s="57"/>
      <c r="J35" s="57"/>
      <c r="K35" s="57"/>
      <c r="L35" s="57"/>
      <c r="M35" s="57"/>
      <c r="N35" s="57"/>
      <c r="O35" s="57"/>
      <c r="P35" s="139"/>
      <c r="Q35" s="57"/>
      <c r="R35" s="71"/>
      <c r="S35" s="132"/>
      <c r="T35" s="71"/>
      <c r="U35" s="59"/>
      <c r="AB35" s="107" t="s">
        <v>71</v>
      </c>
      <c r="AC35" s="107" t="s">
        <v>128</v>
      </c>
      <c r="AD35" s="107">
        <f>+ebsvs!G97</f>
        <v>179</v>
      </c>
      <c r="AE35" s="107">
        <f>+plastivs!G97</f>
        <v>194</v>
      </c>
      <c r="AF35" s="107"/>
      <c r="AG35" s="107">
        <f>+ebset!G97</f>
        <v>0</v>
      </c>
      <c r="AH35" s="107">
        <f>+ebset!G97</f>
        <v>0</v>
      </c>
      <c r="AI35" s="107">
        <f>+seacbois!G97</f>
        <v>220</v>
      </c>
      <c r="AJ35" s="107"/>
      <c r="AK35" s="107"/>
      <c r="AL35" s="107"/>
    </row>
    <row r="36" spans="7:38" ht="19.5" thickTop="1" x14ac:dyDescent="0.3">
      <c r="G36" s="56"/>
      <c r="H36" s="57"/>
      <c r="I36" s="57"/>
      <c r="J36" s="57"/>
      <c r="K36" s="57"/>
      <c r="L36" s="57"/>
      <c r="M36" s="57"/>
      <c r="N36" s="57"/>
      <c r="O36" s="57"/>
      <c r="P36" s="223" t="str">
        <f>IF(AC17=1,+HLOOKUP(AC22,AC26:AI31,6,FALSE),+HLOOKUP(AC22,AC33:AI37,5,FALSE))</f>
        <v>plancher POLYSEAC 12 + 5 UP23</v>
      </c>
      <c r="Q36" s="224"/>
      <c r="R36" s="224"/>
      <c r="S36" s="224"/>
      <c r="T36" s="224"/>
      <c r="U36" s="59"/>
      <c r="AB36" s="107" t="s">
        <v>72</v>
      </c>
      <c r="AC36" s="107" t="s">
        <v>128</v>
      </c>
      <c r="AD36" s="107">
        <f>+ebsvs!G98</f>
        <v>61</v>
      </c>
      <c r="AE36" s="107">
        <f>+plastivs!G98</f>
        <v>68.5</v>
      </c>
      <c r="AF36" s="107"/>
      <c r="AG36" s="107">
        <f>+ebset!G98</f>
        <v>0</v>
      </c>
      <c r="AH36" s="107">
        <f>+ebset!G98</f>
        <v>0</v>
      </c>
      <c r="AI36" s="107">
        <f>+seacbois!G98</f>
        <v>66</v>
      </c>
      <c r="AJ36" s="107"/>
      <c r="AK36" s="107"/>
      <c r="AL36" s="107"/>
    </row>
    <row r="37" spans="7:38" x14ac:dyDescent="0.2">
      <c r="G37" s="56"/>
      <c r="H37" s="57"/>
      <c r="I37" s="57"/>
      <c r="J37" s="57"/>
      <c r="K37" s="57"/>
      <c r="L37" s="57"/>
      <c r="M37" s="57"/>
      <c r="N37" s="57"/>
      <c r="O37" s="57"/>
      <c r="P37" s="77"/>
      <c r="Q37" s="225" t="str">
        <f>IF(AC22=5,"pose AVEC étai",+IF(AC22=6, "pose AVEC étai",+IF(AC22=7,"pose AVEC étai",+IF(S19="avec etai","pose AVEC étai","pose SANS étai"))))</f>
        <v>pose SANS étai</v>
      </c>
      <c r="R37" s="225"/>
      <c r="S37" s="225"/>
      <c r="T37" s="135"/>
      <c r="U37" s="59"/>
      <c r="AB37" s="107" t="s">
        <v>93</v>
      </c>
      <c r="AC37" s="107" t="s">
        <v>102</v>
      </c>
      <c r="AD37" s="107" t="str">
        <f>+"plancher"&amp;" "&amp;"EBS"&amp;" "&amp;Q32&amp;" "&amp;"+"&amp;" "&amp;S32&amp;" jum"</f>
        <v>plancher EBS 12 + 5 jum</v>
      </c>
      <c r="AE37" s="107" t="str">
        <f>IF(Q32&gt;15,"hauteur hourdis non disponible",+"plancher"&amp;" "&amp;"PLASTIVS"&amp;" "&amp;Q32&amp;" "&amp;"+" &amp;" "&amp;S32&amp;" jum")</f>
        <v>plancher PLASTIVS 12 + 5 jum</v>
      </c>
      <c r="AF37" s="107" t="s">
        <v>102</v>
      </c>
      <c r="AG37" s="107" t="str">
        <f>+ebset!G91</f>
        <v>hauteur hourdis 15 mini pour jumelage</v>
      </c>
      <c r="AH37" s="107" t="str">
        <f>+ebset!B90</f>
        <v>hauteur hourdis 15 mini pour jumelage</v>
      </c>
      <c r="AI37" s="107" t="str">
        <f>IF(Q331&gt;20,"hauteur hourdis non disponible",+"plancher"&amp;" "&amp;"seacbois"&amp;" "&amp;Q32&amp;" "&amp;"+" &amp;" "&amp;S32&amp;" jum")</f>
        <v>plancher seacbois 12 + 5 jum</v>
      </c>
      <c r="AJ37" s="107"/>
      <c r="AK37" s="107"/>
      <c r="AL37" s="107"/>
    </row>
    <row r="38" spans="7:38" x14ac:dyDescent="0.2">
      <c r="G38" s="56"/>
      <c r="H38" s="57"/>
      <c r="I38" s="57"/>
      <c r="J38" s="57"/>
      <c r="K38" s="57"/>
      <c r="L38" s="57"/>
      <c r="M38" s="57"/>
      <c r="N38" s="57"/>
      <c r="O38" s="57"/>
      <c r="P38" s="77"/>
      <c r="Q38" s="134" t="s">
        <v>92</v>
      </c>
      <c r="R38" s="135"/>
      <c r="S38" s="136">
        <f>IF(AC17=1,+HLOOKUP(AC22,AC26:AI31,3,FALSE),+HLOOKUP(AC22,AC33:AI37,3,FALSE))</f>
        <v>170</v>
      </c>
      <c r="T38" s="135"/>
      <c r="U38" s="59"/>
      <c r="AB38" s="107" t="s">
        <v>274</v>
      </c>
      <c r="AD38">
        <f>+ebsvs!G99</f>
        <v>20.58</v>
      </c>
      <c r="AE38" s="107">
        <f>+plastivs!G99</f>
        <v>27.79</v>
      </c>
      <c r="AG38" s="107">
        <f>+ebset!G99</f>
        <v>19.600000000000001</v>
      </c>
      <c r="AH38" s="107">
        <f>+ebset!G99</f>
        <v>19.600000000000001</v>
      </c>
      <c r="AI38" s="107">
        <f>+seacbois!G99</f>
        <v>25.78</v>
      </c>
      <c r="AK38" s="107"/>
      <c r="AL38" s="107"/>
    </row>
    <row r="39" spans="7:38" x14ac:dyDescent="0.2">
      <c r="G39" s="56"/>
      <c r="H39" s="57"/>
      <c r="I39" s="57"/>
      <c r="J39" s="57"/>
      <c r="K39" s="57"/>
      <c r="L39" s="57"/>
      <c r="M39" s="57"/>
      <c r="N39" s="57"/>
      <c r="O39" s="57"/>
      <c r="P39" s="77"/>
      <c r="Q39" s="133" t="s">
        <v>73</v>
      </c>
      <c r="R39" s="135"/>
      <c r="S39" s="137">
        <f>IF(AC17=1,+HLOOKUP(AC22,AC26:AI31,4,FALSE),+HLOOKUP(AC22,AC33:AI37,4,FALSE))</f>
        <v>60</v>
      </c>
      <c r="T39" s="135"/>
      <c r="U39" s="59"/>
      <c r="AK39" s="107"/>
      <c r="AL39" s="107"/>
    </row>
    <row r="40" spans="7:38" x14ac:dyDescent="0.2">
      <c r="G40" s="56"/>
      <c r="H40" s="57"/>
      <c r="I40" s="57"/>
      <c r="J40" s="57"/>
      <c r="K40" s="57"/>
      <c r="L40" s="57"/>
      <c r="M40" s="57"/>
      <c r="N40" s="57"/>
      <c r="O40" s="57"/>
      <c r="P40" s="77" t="s">
        <v>318</v>
      </c>
      <c r="Q40" s="133"/>
      <c r="R40" s="135"/>
      <c r="S40" s="141">
        <f>IF(AC17=1,+HLOOKUP(AC22,AC26:AI31,5,FALSE),+HLOOKUP(AC22,AC33:AI38,6,FALSE))</f>
        <v>29.08</v>
      </c>
      <c r="T40" s="135"/>
      <c r="U40" s="59"/>
      <c r="AK40" s="107"/>
      <c r="AL40" s="107"/>
    </row>
    <row r="41" spans="7:38" x14ac:dyDescent="0.2"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8"/>
      <c r="T41" s="57"/>
      <c r="U41" s="59"/>
      <c r="AC41" s="107">
        <v>1</v>
      </c>
      <c r="AD41" s="107">
        <v>2</v>
      </c>
      <c r="AE41" s="107">
        <v>3</v>
      </c>
      <c r="AF41" s="107">
        <v>4</v>
      </c>
      <c r="AG41" s="107">
        <v>5</v>
      </c>
      <c r="AH41" s="107">
        <v>6</v>
      </c>
      <c r="AI41" s="107">
        <v>7</v>
      </c>
      <c r="AK41" s="107"/>
      <c r="AL41" s="107"/>
    </row>
    <row r="42" spans="7:38" x14ac:dyDescent="0.2">
      <c r="G42" s="56"/>
      <c r="H42" s="57"/>
      <c r="I42" s="57"/>
      <c r="J42" s="57"/>
      <c r="K42" s="57"/>
      <c r="L42" s="57"/>
      <c r="M42" s="57"/>
      <c r="N42" s="57"/>
      <c r="O42" s="57"/>
      <c r="P42" s="71"/>
      <c r="Q42" s="57"/>
      <c r="R42" s="57"/>
      <c r="S42" s="58"/>
      <c r="T42" s="57"/>
      <c r="U42" s="59"/>
      <c r="AB42" s="121" t="s">
        <v>125</v>
      </c>
      <c r="AC42" s="107" t="str">
        <f>+IF(S19="avec etai",polyseac!J59,polyseac!T59)</f>
        <v>12+5</v>
      </c>
      <c r="AD42" s="107" t="str">
        <f>+IF($S$19="avec etai",ebsvs!J118,ebsvs!T118)</f>
        <v>12+5</v>
      </c>
      <c r="AE42" s="107" t="str">
        <f>+IF($S$19="avec etai",plastivs!J118,plastivs!T118)</f>
        <v>12+5</v>
      </c>
      <c r="AF42" s="107" t="str">
        <f>+IF($S$19="avec etai",seacisol!J67,seacisol!T67)</f>
        <v>C17+5</v>
      </c>
      <c r="AG42" s="107" t="str">
        <f>+IF($L$22=30,ebset!J118,ebset!T118)</f>
        <v>12+5</v>
      </c>
      <c r="AH42" s="107" t="str">
        <f>+IF($L$22=30,ebset!J125,ebset!T118)</f>
        <v>15+5</v>
      </c>
      <c r="AI42" s="107" t="str">
        <f>+seacbois!J118</f>
        <v>12+5</v>
      </c>
      <c r="AJ42" s="107"/>
      <c r="AK42" s="107"/>
      <c r="AL42" s="107"/>
    </row>
    <row r="43" spans="7:38" x14ac:dyDescent="0.2">
      <c r="G43" s="56"/>
      <c r="H43" s="57"/>
      <c r="I43" s="57"/>
      <c r="J43" s="57"/>
      <c r="K43" s="57"/>
      <c r="L43" s="57"/>
      <c r="M43" s="57"/>
      <c r="N43" s="57"/>
      <c r="O43" s="57"/>
      <c r="P43" s="71"/>
      <c r="Q43" s="57"/>
      <c r="R43" s="57"/>
      <c r="S43" s="58"/>
      <c r="T43" s="57"/>
      <c r="U43" s="59"/>
      <c r="AB43" s="107" t="s">
        <v>127</v>
      </c>
      <c r="AC43" s="107" t="str">
        <f>IF(AC42="hors limites","hors limite,voir SEACISOL",+"plancher"&amp;" "&amp;"POLYSEAC"&amp;" "&amp;AC42&amp;" "&amp;"UP"&amp;H18)</f>
        <v>plancher POLYSEAC 12+5 UP23</v>
      </c>
      <c r="AD43" s="107" t="str">
        <f>+"plancher"&amp;" "&amp;"EBS"&amp;" "&amp;AD42</f>
        <v>plancher EBS 12+5</v>
      </c>
      <c r="AE43" s="107" t="str">
        <f>+"plancher"&amp;" "&amp;"PLASTIVS"&amp;" "&amp;AE42</f>
        <v>plancher PLASTIVS 12+5</v>
      </c>
      <c r="AF43" s="107" t="str">
        <f>+"plancher"&amp;" "&amp;"SEACISOL"&amp;" "&amp;AF42</f>
        <v>plancher SEACISOL C17+5</v>
      </c>
      <c r="AG43" s="107" t="str">
        <f>+"plancher"&amp;" "&amp;"EBS"&amp;" "&amp;AG42</f>
        <v>plancher EBS 12+5</v>
      </c>
      <c r="AH43" s="107" t="str">
        <f>+"plancher"&amp;" "&amp;"PREDAL-SEACOUSTIC"&amp;" "&amp;AH42</f>
        <v>plancher PREDAL-SEACOUSTIC 15+5</v>
      </c>
      <c r="AI43" s="107" t="str">
        <f>+"plancher"&amp;" "&amp;"SEACBOIS"&amp;" "&amp;AI42</f>
        <v>plancher SEACBOIS 12+5</v>
      </c>
      <c r="AJ43" s="107"/>
      <c r="AK43" s="107"/>
      <c r="AL43" s="107"/>
    </row>
    <row r="44" spans="7:38" x14ac:dyDescent="0.2">
      <c r="G44" s="56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8"/>
      <c r="T44" s="57"/>
      <c r="U44" s="59"/>
      <c r="AB44" s="107" t="s">
        <v>71</v>
      </c>
      <c r="AC44" s="107">
        <f>+IF($S$19="avec etai",polyseac!J60,polyseac!T60)</f>
        <v>170</v>
      </c>
      <c r="AD44" s="107">
        <f>+IF($S$19="avec etai",ebsvs!J119,ebsvs!T119)</f>
        <v>179</v>
      </c>
      <c r="AE44" s="107">
        <f>+IF($S$19="avec etai",plastivs!J119,plastivs!T119)</f>
        <v>194</v>
      </c>
      <c r="AF44" s="107">
        <f>+IF($S$19="avec etai",seacisol!J68,seacisol!T68)</f>
        <v>174</v>
      </c>
      <c r="AG44" s="107">
        <f>+IF($L$22=30,ebset!J119,ebset!T119)</f>
        <v>188</v>
      </c>
      <c r="AH44" s="107">
        <f>+IF($L$22=30,ebset!J126,ebset!T119)</f>
        <v>211</v>
      </c>
      <c r="AI44" s="107">
        <f>+seacbois!J119</f>
        <v>186</v>
      </c>
      <c r="AJ44" s="107"/>
      <c r="AK44" s="107"/>
      <c r="AL44" s="107"/>
    </row>
    <row r="45" spans="7:38" x14ac:dyDescent="0.2">
      <c r="G45" s="56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8"/>
      <c r="T45" s="57"/>
      <c r="U45" s="59"/>
      <c r="AB45" s="107" t="s">
        <v>72</v>
      </c>
      <c r="AC45" s="107">
        <f>+IF($S$19="avec etai",polyseac!J61,polyseac!T61)</f>
        <v>60</v>
      </c>
      <c r="AD45" s="107">
        <f>+IF($S$19="avec etai",ebsvs!J120,ebsvs!T120)</f>
        <v>61</v>
      </c>
      <c r="AE45" s="107">
        <f>+IF($S$19="avec etai",plastivs!J120,plastivs!T120)</f>
        <v>68.5</v>
      </c>
      <c r="AF45" s="107">
        <f>+IF($S$19="avec etai",seacisol!J69,seacisol!T69)</f>
        <v>50</v>
      </c>
      <c r="AG45" s="107">
        <f>+IF($L$22=30,ebset!J120,ebset!T120)</f>
        <v>62.5</v>
      </c>
      <c r="AH45" s="107">
        <f>+IF($L$22=30,ebset!J127,ebset!T120)</f>
        <v>70</v>
      </c>
      <c r="AI45" s="107">
        <f>+seacbois!J120</f>
        <v>62</v>
      </c>
      <c r="AJ45" s="107"/>
      <c r="AK45" s="107"/>
      <c r="AL45" s="107"/>
    </row>
    <row r="46" spans="7:38" ht="13.5" thickBot="1" x14ac:dyDescent="0.25">
      <c r="G46" s="78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80"/>
      <c r="T46" s="79"/>
      <c r="U46" s="81"/>
      <c r="AB46" s="107" t="s">
        <v>274</v>
      </c>
      <c r="AC46" s="107">
        <f>+IF($S$19="avec etai",polyseac!J62,polyseac!T62)</f>
        <v>29.43</v>
      </c>
      <c r="AD46" s="107">
        <f>+IF($S$19="avec etai",ebsvs!J121,ebsvs!T121)</f>
        <v>15.19</v>
      </c>
      <c r="AE46" s="107">
        <f>+IF($S$19="avec etai",plastivs!J121,plastivs!T121)</f>
        <v>23.27</v>
      </c>
      <c r="AF46" s="107">
        <f>+IF($S$19="avec etai",seacisol!J70,seacisol!T70)</f>
        <v>27.44</v>
      </c>
      <c r="AG46" s="107">
        <f>+IF($L$22=30,ebset!J121,ebset!T121)</f>
        <v>14.85</v>
      </c>
      <c r="AH46" s="107">
        <f>+IF($L$22=30,ebset!J128,ebset!T121)</f>
        <v>0</v>
      </c>
      <c r="AI46" s="107">
        <f>+seacbois!J121</f>
        <v>23.03</v>
      </c>
      <c r="AJ46" s="107"/>
      <c r="AK46" s="107"/>
      <c r="AL46" s="107"/>
    </row>
    <row r="47" spans="7:38" ht="13.5" thickTop="1" x14ac:dyDescent="0.2">
      <c r="AB47" s="111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</row>
    <row r="48" spans="7:38" x14ac:dyDescent="0.2">
      <c r="AB48" s="107"/>
      <c r="AC48" s="107"/>
      <c r="AD48" s="107" t="str">
        <f>+IF(S19="avec etai",ebsvs!J106,ebsvs!T106)</f>
        <v>12+5 JUM</v>
      </c>
      <c r="AE48" s="107" t="str">
        <f>+IF($S$19="avec etai",plastivs!J106,plastivs!T106)</f>
        <v>12+5 JUM</v>
      </c>
      <c r="AF48" s="107"/>
      <c r="AG48" s="107" t="str">
        <f>+IF($L$22=30,ebset!J106,ebset!T106)</f>
        <v>15+5 JUM</v>
      </c>
      <c r="AH48" s="107" t="str">
        <f>+IF($L$22=30,ebset!J106,ebset!T106)</f>
        <v>15+5 JUM</v>
      </c>
      <c r="AI48" s="107" t="str">
        <f>+seacbois!J106</f>
        <v>12+5 JUM</v>
      </c>
      <c r="AJ48" s="107"/>
      <c r="AK48" s="107"/>
      <c r="AL48" s="107"/>
    </row>
    <row r="49" spans="28:38" x14ac:dyDescent="0.2">
      <c r="AB49" s="107" t="s">
        <v>87</v>
      </c>
      <c r="AC49" s="107" t="s">
        <v>102</v>
      </c>
      <c r="AD49" s="107" t="str">
        <f>+"plancher"&amp;" "&amp;"EBS"&amp;" "&amp;AD48</f>
        <v>plancher EBS 12+5 JUM</v>
      </c>
      <c r="AE49" s="107" t="str">
        <f>+"plancher"&amp;" "&amp;"PLASTIVS"&amp;" "&amp;AE48</f>
        <v>plancher PLASTIVS 12+5 JUM</v>
      </c>
      <c r="AF49" s="107" t="s">
        <v>102</v>
      </c>
      <c r="AG49" s="107" t="str">
        <f>+"plancher"&amp;" "&amp;"EBS"&amp;" "&amp;AG48</f>
        <v>plancher EBS 15+5 JUM</v>
      </c>
      <c r="AH49" s="107" t="str">
        <f>+"plancher"&amp;" "&amp;"PREDAL-SEACOUSTIC"&amp;" "&amp;AH48</f>
        <v>plancher PREDAL-SEACOUSTIC 15+5 JUM</v>
      </c>
      <c r="AI49" s="107" t="str">
        <f>+"plancher"&amp;" "&amp;"SEACBOIS"&amp;" "&amp;AI48</f>
        <v>plancher SEACBOIS 12+5 JUM</v>
      </c>
      <c r="AJ49" s="107"/>
      <c r="AK49" s="107"/>
      <c r="AL49" s="107"/>
    </row>
    <row r="50" spans="28:38" x14ac:dyDescent="0.2">
      <c r="AB50" s="107" t="s">
        <v>71</v>
      </c>
      <c r="AC50" s="107" t="s">
        <v>128</v>
      </c>
      <c r="AD50" s="107">
        <f>+IF(S19="avec etai",ebsvs!J107,ebsvs!T107)</f>
        <v>179</v>
      </c>
      <c r="AE50" s="107">
        <f>+IF($S$19="avec etai",plastivs!J107,plastivs!T107)</f>
        <v>194</v>
      </c>
      <c r="AF50" s="107" t="s">
        <v>128</v>
      </c>
      <c r="AG50" s="107">
        <f>+IF($L$22=30,ebset!J107,ebset!T107)</f>
        <v>253</v>
      </c>
      <c r="AH50" s="107">
        <f>+IF($L$22=30,ebset!J107,ebset!T107)</f>
        <v>253</v>
      </c>
      <c r="AI50" s="107">
        <f>+seacbois!J107</f>
        <v>220</v>
      </c>
      <c r="AJ50" s="107"/>
      <c r="AK50" s="107"/>
      <c r="AL50" s="107"/>
    </row>
    <row r="51" spans="28:38" x14ac:dyDescent="0.2">
      <c r="AB51" s="107" t="s">
        <v>72</v>
      </c>
      <c r="AC51" s="107" t="s">
        <v>128</v>
      </c>
      <c r="AD51" s="107">
        <f>+IF(S19="avec etai",ebsvs!J108,ebsvs!T108)</f>
        <v>61</v>
      </c>
      <c r="AE51" s="107">
        <f>+IF($S$19="avec etai",plastivs!J108,plastivs!T108)</f>
        <v>68.5</v>
      </c>
      <c r="AF51" s="107" t="s">
        <v>128</v>
      </c>
      <c r="AG51" s="107">
        <f>+IF($L$22=30,ebset!J108,ebset!T108)</f>
        <v>76</v>
      </c>
      <c r="AH51" s="107">
        <f>+IF($L$22=30,ebset!J108,ebset!T108)</f>
        <v>76</v>
      </c>
      <c r="AI51" s="107">
        <f>+seacbois!J108</f>
        <v>66</v>
      </c>
      <c r="AJ51" s="107"/>
    </row>
    <row r="52" spans="28:38" x14ac:dyDescent="0.2">
      <c r="AB52" s="107" t="s">
        <v>274</v>
      </c>
      <c r="AD52" s="107">
        <f>+IF(S20="avec etai",ebsvs!J109,ebsvs!T109)</f>
        <v>20.58</v>
      </c>
      <c r="AE52" s="107">
        <f>+IF($S$19="avec etai",plastivs!J109,plastivs!T109)</f>
        <v>27.79</v>
      </c>
      <c r="AG52" s="107">
        <f>+IF($L$22=30,ebset!J109,ebset!T109)</f>
        <v>21.47</v>
      </c>
      <c r="AH52" s="107">
        <f>+IF($L$22=30,ebset!J109,ebset!T109)</f>
        <v>21.47</v>
      </c>
      <c r="AI52" s="107">
        <f>+seacbois!J109</f>
        <v>25.78</v>
      </c>
    </row>
  </sheetData>
  <sheetProtection algorithmName="SHA-512" hashValue="eWHjutZ0HjNmpxyL4zRi4d03lgg42++aITctFW51DaGSZP+myWoEaFVMyN6CnvwDJXVqxKnKSVdGpFA/0AuHLg==" saltValue="Gcfe9icDLPzkc3AFsc/yPg==" spinCount="100000" sheet="1" objects="1" scenarios="1" selectLockedCells="1"/>
  <mergeCells count="10">
    <mergeCell ref="P24:T24"/>
    <mergeCell ref="Q25:S25"/>
    <mergeCell ref="P36:T36"/>
    <mergeCell ref="Q37:S37"/>
    <mergeCell ref="Q23:S23"/>
    <mergeCell ref="P29:T29"/>
    <mergeCell ref="Q27:R27"/>
    <mergeCell ref="P26:R26"/>
    <mergeCell ref="P30:T30"/>
    <mergeCell ref="P34:R34"/>
  </mergeCells>
  <conditionalFormatting sqref="H17:H18">
    <cfRule type="expression" dxfId="18" priority="8">
      <formula>$AC$22=1</formula>
    </cfRule>
  </conditionalFormatting>
  <conditionalFormatting sqref="H18">
    <cfRule type="expression" dxfId="17" priority="7">
      <formula>$AC$22=1</formula>
    </cfRule>
  </conditionalFormatting>
  <conditionalFormatting sqref="L17:L18">
    <cfRule type="expression" dxfId="16" priority="6">
      <formula>$AC$22=4</formula>
    </cfRule>
  </conditionalFormatting>
  <conditionalFormatting sqref="L18">
    <cfRule type="expression" dxfId="15" priority="5">
      <formula>$AC$22=4</formula>
    </cfRule>
  </conditionalFormatting>
  <conditionalFormatting sqref="L20:L22">
    <cfRule type="expression" dxfId="14" priority="16">
      <formula>$AC$22&lt;5</formula>
    </cfRule>
  </conditionalFormatting>
  <conditionalFormatting sqref="L21">
    <cfRule type="expression" dxfId="13" priority="2">
      <formula>$AC$22=7</formula>
    </cfRule>
  </conditionalFormatting>
  <conditionalFormatting sqref="L22">
    <cfRule type="expression" dxfId="12" priority="4">
      <formula>$AC$22&gt;6</formula>
    </cfRule>
    <cfRule type="cellIs" dxfId="11" priority="22" operator="equal">
      <formula>30</formula>
    </cfRule>
  </conditionalFormatting>
  <conditionalFormatting sqref="M26:M29">
    <cfRule type="expression" dxfId="10" priority="12">
      <formula>$AC$22&gt;4</formula>
    </cfRule>
  </conditionalFormatting>
  <conditionalFormatting sqref="P34:P35">
    <cfRule type="expression" dxfId="9" priority="31">
      <formula>$S$34&lt;$S$10</formula>
    </cfRule>
  </conditionalFormatting>
  <conditionalFormatting sqref="P35:T40 P31:T32 P33:R33 T33 P34 S34:T34">
    <cfRule type="expression" dxfId="8" priority="13">
      <formula>$AC$20=FALSE</formula>
    </cfRule>
  </conditionalFormatting>
  <conditionalFormatting sqref="P35:T40">
    <cfRule type="expression" dxfId="7" priority="35">
      <formula>$S$34&lt;$S$10</formula>
    </cfRule>
  </conditionalFormatting>
  <conditionalFormatting sqref="P36:T40">
    <cfRule type="expression" dxfId="6" priority="10">
      <formula>$AK$20=0</formula>
    </cfRule>
  </conditionalFormatting>
  <conditionalFormatting sqref="Q19:S19">
    <cfRule type="expression" dxfId="5" priority="1">
      <formula>+$AC$22&gt;4</formula>
    </cfRule>
  </conditionalFormatting>
  <conditionalFormatting sqref="S12">
    <cfRule type="expression" dxfId="4" priority="21">
      <formula>$S$12&gt;500</formula>
    </cfRule>
  </conditionalFormatting>
  <conditionalFormatting sqref="S19">
    <cfRule type="containsText" dxfId="3" priority="23" operator="containsText" text="sans etai">
      <formula>NOT(ISERROR(SEARCH("sans etai",S19)))</formula>
    </cfRule>
  </conditionalFormatting>
  <conditionalFormatting sqref="S34">
    <cfRule type="expression" dxfId="2" priority="18">
      <formula>$S$34&lt;$S$10</formula>
    </cfRule>
  </conditionalFormatting>
  <conditionalFormatting sqref="T28">
    <cfRule type="expression" dxfId="1" priority="11">
      <formula>$AC$22=4</formula>
    </cfRule>
  </conditionalFormatting>
  <dataValidations count="7">
    <dataValidation type="list" allowBlank="1" showInputMessage="1" showErrorMessage="1" sqref="Q32" xr:uid="{A21837D2-BFE5-4B19-AF9B-C2117D9EC709}">
      <formula1>$AF$15:$AF$17</formula1>
    </dataValidation>
    <dataValidation type="list" allowBlank="1" showInputMessage="1" showErrorMessage="1" sqref="S32" xr:uid="{E4A44618-5D6B-47E9-903E-91D40EECABE9}">
      <formula1>$AH$15:$AH$18</formula1>
    </dataValidation>
    <dataValidation type="list" allowBlank="1" showInputMessage="1" showErrorMessage="1" sqref="S14" xr:uid="{32CD7148-F53B-40DC-A096-CECA90D75A4A}">
      <formula1>$AH$22:$AH$24</formula1>
    </dataValidation>
    <dataValidation type="list" allowBlank="1" showInputMessage="1" showErrorMessage="1" sqref="L22" xr:uid="{AC8CF5B9-9B65-42B5-B074-10DEF363A7C4}">
      <formula1>$AE$14:$AE$15</formula1>
    </dataValidation>
    <dataValidation type="list" allowBlank="1" showInputMessage="1" showErrorMessage="1" sqref="S19" xr:uid="{210853C2-A4BC-42F6-AEE1-4885E05B06F7}">
      <formula1>$AC$9:$AC$10</formula1>
    </dataValidation>
    <dataValidation type="list" allowBlank="1" showInputMessage="1" showErrorMessage="1" sqref="H18" xr:uid="{B5D71F20-C605-4A5D-9368-4E5A934021D8}">
      <formula1>$AO$7:$AO$12</formula1>
    </dataValidation>
    <dataValidation type="list" allowBlank="1" showInputMessage="1" showErrorMessage="1" sqref="L18" xr:uid="{34181279-D671-4CA9-8899-669774141F42}">
      <formula1>$AO$8:$AO$11</formula1>
    </dataValidation>
  </dataValidations>
  <pageMargins left="0.7" right="0.7" top="0.75" bottom="0.75" header="0.3" footer="0.3"/>
  <pageSetup paperSize="9" scale="77" orientation="landscape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4" r:id="rId5" name="Group Box 136">
              <controlPr defaultSize="0" autoFill="0" autoPict="0">
                <anchor moveWithCells="1" sizeWithCells="1">
                  <from>
                    <xdr:col>9</xdr:col>
                    <xdr:colOff>638175</xdr:colOff>
                    <xdr:row>21</xdr:row>
                    <xdr:rowOff>0</xdr:rowOff>
                  </from>
                  <to>
                    <xdr:col>14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6" name="Group Box 29">
              <controlPr defaultSize="0" autoFill="0" autoPict="0">
                <anchor moveWithCells="1" sizeWithCells="1">
                  <from>
                    <xdr:col>7</xdr:col>
                    <xdr:colOff>638175</xdr:colOff>
                    <xdr:row>21</xdr:row>
                    <xdr:rowOff>0</xdr:rowOff>
                  </from>
                  <to>
                    <xdr:col>12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7" name="Group Box 59">
              <controlPr defaultSize="0" autoFill="0" autoPict="0">
                <anchor moveWithCells="1" sizeWithCells="1">
                  <from>
                    <xdr:col>17</xdr:col>
                    <xdr:colOff>66675</xdr:colOff>
                    <xdr:row>15</xdr:row>
                    <xdr:rowOff>133350</xdr:rowOff>
                  </from>
                  <to>
                    <xdr:col>19</xdr:col>
                    <xdr:colOff>28575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8" name="Option Button 227">
              <controlPr defaultSize="0" autoFill="0" autoLine="0" autoPict="0">
                <anchor moveWithCells="1" sizeWithCells="1">
                  <from>
                    <xdr:col>7</xdr:col>
                    <xdr:colOff>304800</xdr:colOff>
                    <xdr:row>13</xdr:row>
                    <xdr:rowOff>161925</xdr:rowOff>
                  </from>
                  <to>
                    <xdr:col>7</xdr:col>
                    <xdr:colOff>609600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9" name="Option Button 228">
              <controlPr defaultSize="0" autoFill="0" autoLine="0" autoPict="0">
                <anchor moveWithCells="1" sizeWithCells="1">
                  <from>
                    <xdr:col>8</xdr:col>
                    <xdr:colOff>257175</xdr:colOff>
                    <xdr:row>13</xdr:row>
                    <xdr:rowOff>152400</xdr:rowOff>
                  </from>
                  <to>
                    <xdr:col>8</xdr:col>
                    <xdr:colOff>561975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0" name="Option Button 229">
              <controlPr defaultSize="0" autoFill="0" autoLine="0" autoPict="0">
                <anchor moveWithCells="1" sizeWithCells="1">
                  <from>
                    <xdr:col>9</xdr:col>
                    <xdr:colOff>371475</xdr:colOff>
                    <xdr:row>13</xdr:row>
                    <xdr:rowOff>152400</xdr:rowOff>
                  </from>
                  <to>
                    <xdr:col>9</xdr:col>
                    <xdr:colOff>676275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1" name="Option Button 230">
              <controlPr defaultSize="0" autoFill="0" autoLine="0" autoPict="0">
                <anchor moveWithCells="1" sizeWithCells="1">
                  <from>
                    <xdr:col>11</xdr:col>
                    <xdr:colOff>152400</xdr:colOff>
                    <xdr:row>13</xdr:row>
                    <xdr:rowOff>152400</xdr:rowOff>
                  </from>
                  <to>
                    <xdr:col>11</xdr:col>
                    <xdr:colOff>447675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" name="Group Box 231">
              <controlPr defaultSize="0" autoFill="0" autoPict="0">
                <anchor moveWithCells="1" sizeWithCells="1">
                  <from>
                    <xdr:col>6</xdr:col>
                    <xdr:colOff>685800</xdr:colOff>
                    <xdr:row>7</xdr:row>
                    <xdr:rowOff>142875</xdr:rowOff>
                  </from>
                  <to>
                    <xdr:col>12</xdr:col>
                    <xdr:colOff>142875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" name="Option Button 348">
              <controlPr defaultSize="0" autoFill="0" autoLine="0" autoPict="0">
                <anchor moveWithCells="1" sizeWithCells="1">
                  <from>
                    <xdr:col>17</xdr:col>
                    <xdr:colOff>209550</xdr:colOff>
                    <xdr:row>16</xdr:row>
                    <xdr:rowOff>19050</xdr:rowOff>
                  </from>
                  <to>
                    <xdr:col>18</xdr:col>
                    <xdr:colOff>238125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4" name="Option Button 350">
              <controlPr defaultSize="0" autoFill="0" autoLine="0" autoPict="0">
                <anchor moveWithCells="1" sizeWithCells="1">
                  <from>
                    <xdr:col>18</xdr:col>
                    <xdr:colOff>676275</xdr:colOff>
                    <xdr:row>16</xdr:row>
                    <xdr:rowOff>19050</xdr:rowOff>
                  </from>
                  <to>
                    <xdr:col>18</xdr:col>
                    <xdr:colOff>933450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5" name="Option Button 357">
              <controlPr defaultSize="0" autoFill="0" autoLine="0" autoPict="0">
                <anchor moveWithCells="1" sizeWithCells="1">
                  <from>
                    <xdr:col>7</xdr:col>
                    <xdr:colOff>238125</xdr:colOff>
                    <xdr:row>22</xdr:row>
                    <xdr:rowOff>57150</xdr:rowOff>
                  </from>
                  <to>
                    <xdr:col>7</xdr:col>
                    <xdr:colOff>542925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6" name="Option Button 358">
              <controlPr defaultSize="0" autoFill="0" autoLine="0" autoPict="0">
                <anchor moveWithCells="1" sizeWithCells="1">
                  <from>
                    <xdr:col>8</xdr:col>
                    <xdr:colOff>371475</xdr:colOff>
                    <xdr:row>22</xdr:row>
                    <xdr:rowOff>28575</xdr:rowOff>
                  </from>
                  <to>
                    <xdr:col>8</xdr:col>
                    <xdr:colOff>666750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7" name="Option Button 527">
              <controlPr defaultSize="0" autoFill="0" autoLine="0" autoPict="0" altText="NON">
                <anchor moveWithCells="1">
                  <from>
                    <xdr:col>18</xdr:col>
                    <xdr:colOff>19050</xdr:colOff>
                    <xdr:row>20</xdr:row>
                    <xdr:rowOff>28575</xdr:rowOff>
                  </from>
                  <to>
                    <xdr:col>18</xdr:col>
                    <xdr:colOff>409575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8" name="Option Button 534">
              <controlPr defaultSize="0" autoFill="0" autoLine="0" autoPict="0" altText="NON">
                <anchor moveWithCells="1">
                  <from>
                    <xdr:col>18</xdr:col>
                    <xdr:colOff>714375</xdr:colOff>
                    <xdr:row>20</xdr:row>
                    <xdr:rowOff>28575</xdr:rowOff>
                  </from>
                  <to>
                    <xdr:col>19</xdr:col>
                    <xdr:colOff>95250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9" name="Option Button 1093">
              <controlPr defaultSize="0" autoFill="0" autoLine="0" autoPict="0">
                <anchor moveWithCells="1" sizeWithCells="1">
                  <from>
                    <xdr:col>9</xdr:col>
                    <xdr:colOff>609600</xdr:colOff>
                    <xdr:row>22</xdr:row>
                    <xdr:rowOff>0</xdr:rowOff>
                  </from>
                  <to>
                    <xdr:col>10</xdr:col>
                    <xdr:colOff>19050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20" name="Check Box 1181">
              <controlPr defaultSize="0" autoFill="0" autoLine="0" autoPict="0">
                <anchor moveWithCells="1">
                  <from>
                    <xdr:col>19</xdr:col>
                    <xdr:colOff>419100</xdr:colOff>
                    <xdr:row>29</xdr:row>
                    <xdr:rowOff>47625</xdr:rowOff>
                  </from>
                  <to>
                    <xdr:col>19</xdr:col>
                    <xdr:colOff>657225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21" name="Option Button 1210">
              <controlPr defaultSize="0" autoFill="0" autoLine="0" autoPict="0">
                <anchor moveWithCells="1" sizeWithCells="1">
                  <from>
                    <xdr:col>10</xdr:col>
                    <xdr:colOff>438150</xdr:colOff>
                    <xdr:row>22</xdr:row>
                    <xdr:rowOff>9525</xdr:rowOff>
                  </from>
                  <to>
                    <xdr:col>10</xdr:col>
                    <xdr:colOff>733425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FCAE-C850-4882-9E6C-32C206DE4BA9}">
  <dimension ref="B4:C18"/>
  <sheetViews>
    <sheetView topLeftCell="A10" zoomScale="160" zoomScaleNormal="160" workbookViewId="0">
      <selection activeCell="E12" sqref="E12"/>
    </sheetView>
  </sheetViews>
  <sheetFormatPr baseColWidth="10" defaultRowHeight="12.75" x14ac:dyDescent="0.2"/>
  <cols>
    <col min="2" max="14" width="30.7109375" customWidth="1"/>
  </cols>
  <sheetData>
    <row r="4" spans="2:3" x14ac:dyDescent="0.2">
      <c r="B4" t="s">
        <v>51</v>
      </c>
      <c r="C4" t="s">
        <v>52</v>
      </c>
    </row>
    <row r="5" spans="2:3" ht="99.95" customHeight="1" x14ac:dyDescent="0.2">
      <c r="B5">
        <v>1</v>
      </c>
    </row>
    <row r="6" spans="2:3" ht="99.95" customHeight="1" x14ac:dyDescent="0.2">
      <c r="B6">
        <v>2</v>
      </c>
    </row>
    <row r="7" spans="2:3" ht="99.95" customHeight="1" x14ac:dyDescent="0.2">
      <c r="B7">
        <v>3</v>
      </c>
    </row>
    <row r="8" spans="2:3" ht="99.95" customHeight="1" x14ac:dyDescent="0.2">
      <c r="B8">
        <v>4</v>
      </c>
    </row>
    <row r="9" spans="2:3" ht="99.95" customHeight="1" x14ac:dyDescent="0.2">
      <c r="B9">
        <v>5</v>
      </c>
    </row>
    <row r="10" spans="2:3" ht="99.95" customHeight="1" x14ac:dyDescent="0.2">
      <c r="B10">
        <v>6</v>
      </c>
    </row>
    <row r="11" spans="2:3" ht="99.95" customHeight="1" x14ac:dyDescent="0.2">
      <c r="B11">
        <v>7</v>
      </c>
    </row>
    <row r="12" spans="2:3" ht="99.95" customHeight="1" x14ac:dyDescent="0.2"/>
    <row r="13" spans="2:3" ht="99.95" customHeight="1" x14ac:dyDescent="0.2"/>
    <row r="14" spans="2:3" ht="99.95" customHeight="1" x14ac:dyDescent="0.2"/>
    <row r="15" spans="2:3" ht="99.95" customHeight="1" x14ac:dyDescent="0.2"/>
    <row r="16" spans="2:3" ht="99.95" customHeight="1" x14ac:dyDescent="0.2"/>
    <row r="17" ht="99.95" customHeight="1" x14ac:dyDescent="0.2"/>
    <row r="18" ht="99.95" customHeight="1" x14ac:dyDescent="0.2"/>
  </sheetData>
  <sheetProtection algorithmName="SHA-512" hashValue="LpYPg5KDxmdXu5kaLIerUgOkyo81rZSKO/Ns5yk0i/dLYrO4ELcTEuzvhlk2xYAk02qDfFhbV3SpwdFAdaLlxQ==" saltValue="Jo4Bl0olJrkORC7jx5MEAQ==" spinCount="100000"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9EEDF-874F-4A32-9FC9-E7D9D6639B1F}">
  <dimension ref="A1:JA424"/>
  <sheetViews>
    <sheetView showGridLines="0" showRowColHeaders="0" zoomScaleNormal="100" workbookViewId="0">
      <selection activeCell="M17" sqref="M17"/>
    </sheetView>
  </sheetViews>
  <sheetFormatPr baseColWidth="10" defaultColWidth="10.85546875" defaultRowHeight="12.75" x14ac:dyDescent="0.2"/>
  <cols>
    <col min="3" max="3" width="4.28515625" customWidth="1"/>
    <col min="4" max="4" width="33.42578125" customWidth="1"/>
    <col min="5" max="5" width="5.7109375" customWidth="1"/>
    <col min="6" max="6" width="7.28515625" hidden="1" customWidth="1"/>
    <col min="7" max="7" width="6.7109375" hidden="1" customWidth="1"/>
    <col min="8" max="8" width="24.28515625" customWidth="1"/>
    <col min="9" max="9" width="8.7109375" hidden="1" customWidth="1"/>
    <col min="10" max="10" width="14.7109375" style="49" customWidth="1"/>
    <col min="11" max="11" width="8.7109375" hidden="1" customWidth="1"/>
    <col min="12" max="12" width="18.7109375" customWidth="1"/>
    <col min="13" max="13" width="10.7109375" customWidth="1"/>
    <col min="14" max="14" width="7.140625" style="49" hidden="1" customWidth="1"/>
    <col min="15" max="15" width="8.7109375" hidden="1" customWidth="1"/>
    <col min="16" max="16" width="6.7109375" hidden="1" customWidth="1"/>
    <col min="17" max="17" width="8.5703125" customWidth="1"/>
    <col min="19" max="19" width="10.85546875" customWidth="1"/>
    <col min="20" max="20" width="10.85546875" hidden="1" customWidth="1"/>
    <col min="21" max="21" width="25.7109375" hidden="1" customWidth="1"/>
    <col min="22" max="22" width="20.7109375" hidden="1" customWidth="1"/>
    <col min="23" max="23" width="26.42578125" hidden="1" customWidth="1"/>
    <col min="24" max="24" width="11.42578125" hidden="1" customWidth="1"/>
    <col min="25" max="32" width="10.85546875" hidden="1" customWidth="1"/>
    <col min="33" max="33" width="22.28515625" hidden="1" customWidth="1"/>
    <col min="34" max="35" width="10.85546875" hidden="1" customWidth="1"/>
    <col min="36" max="36" width="19.28515625" hidden="1" customWidth="1"/>
    <col min="37" max="37" width="26.7109375" hidden="1" customWidth="1"/>
    <col min="38" max="56" width="10.85546875" hidden="1" customWidth="1"/>
    <col min="57" max="57" width="0" hidden="1" customWidth="1"/>
  </cols>
  <sheetData>
    <row r="1" spans="1:261" x14ac:dyDescent="0.2">
      <c r="A1" s="104"/>
      <c r="B1" s="104"/>
      <c r="C1" s="104"/>
      <c r="D1" s="104"/>
      <c r="E1" s="104"/>
      <c r="F1" s="104"/>
      <c r="G1" s="104"/>
      <c r="H1" s="104"/>
      <c r="I1" s="104"/>
      <c r="J1" s="151"/>
      <c r="K1" s="104"/>
      <c r="L1" s="104"/>
      <c r="M1" s="104"/>
      <c r="N1" s="151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</row>
    <row r="2" spans="1:261" x14ac:dyDescent="0.2">
      <c r="A2" s="104"/>
      <c r="B2" s="104"/>
      <c r="C2" s="104"/>
      <c r="D2" s="104"/>
      <c r="E2" s="104"/>
      <c r="F2" s="104"/>
      <c r="G2" s="104"/>
      <c r="H2" s="104"/>
      <c r="I2" s="104"/>
      <c r="J2" s="151"/>
      <c r="K2" s="104"/>
      <c r="L2" s="104"/>
      <c r="M2" s="104"/>
      <c r="N2" s="151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</row>
    <row r="3" spans="1:261" ht="20.100000000000001" customHeight="1" x14ac:dyDescent="0.2">
      <c r="A3" s="104"/>
      <c r="B3" s="104"/>
      <c r="C3" s="104"/>
      <c r="D3" s="104"/>
      <c r="E3" s="104"/>
      <c r="F3" s="104"/>
      <c r="G3" s="104"/>
      <c r="H3" s="104"/>
      <c r="I3" s="104"/>
      <c r="J3" s="151"/>
      <c r="K3" s="104"/>
      <c r="L3" s="104"/>
      <c r="M3" s="104"/>
      <c r="N3" s="151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</row>
    <row r="4" spans="1:261" x14ac:dyDescent="0.2">
      <c r="A4" s="104"/>
      <c r="B4" s="104"/>
      <c r="C4" s="104"/>
      <c r="D4" s="104"/>
      <c r="E4" s="104"/>
      <c r="F4" s="104"/>
      <c r="G4" s="104"/>
      <c r="H4" s="104"/>
      <c r="I4" s="104"/>
      <c r="J4" s="151"/>
      <c r="K4" s="104"/>
      <c r="L4" s="104"/>
      <c r="M4" s="104"/>
      <c r="N4" s="15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</row>
    <row r="5" spans="1:261" ht="20.100000000000001" customHeight="1" x14ac:dyDescent="0.2">
      <c r="A5" s="104"/>
      <c r="B5" s="265"/>
      <c r="C5" s="265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  <c r="IX5" s="104"/>
      <c r="IY5" s="104"/>
      <c r="IZ5" s="104"/>
      <c r="JA5" s="104"/>
    </row>
    <row r="6" spans="1:261" x14ac:dyDescent="0.2">
      <c r="A6" s="104"/>
      <c r="B6" s="104"/>
      <c r="C6" s="104"/>
      <c r="D6" s="104"/>
      <c r="E6" s="104"/>
      <c r="F6" s="104"/>
      <c r="G6" s="104"/>
      <c r="H6" s="104"/>
      <c r="I6" s="104"/>
      <c r="J6" s="151"/>
      <c r="K6" s="104"/>
      <c r="L6" s="104"/>
      <c r="M6" s="104"/>
      <c r="N6" s="151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  <c r="IW6" s="104"/>
      <c r="IX6" s="104"/>
      <c r="IY6" s="104"/>
      <c r="IZ6" s="104"/>
      <c r="JA6" s="104"/>
    </row>
    <row r="7" spans="1:261" x14ac:dyDescent="0.2">
      <c r="A7" s="104"/>
      <c r="B7" s="104"/>
      <c r="C7" s="104"/>
      <c r="D7" s="104"/>
      <c r="E7" s="104"/>
      <c r="F7" s="104"/>
      <c r="G7" s="104"/>
      <c r="H7" s="104"/>
      <c r="I7" s="104"/>
      <c r="J7" s="151"/>
      <c r="K7" s="104"/>
      <c r="L7" s="104"/>
      <c r="M7" s="104"/>
      <c r="N7" s="151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  <c r="IW7" s="104"/>
      <c r="IX7" s="104"/>
      <c r="IY7" s="104"/>
      <c r="IZ7" s="104"/>
      <c r="JA7" s="104"/>
    </row>
    <row r="8" spans="1:261" x14ac:dyDescent="0.2">
      <c r="A8" s="104"/>
      <c r="B8" s="104"/>
      <c r="C8" s="104"/>
      <c r="D8" s="104"/>
      <c r="E8" s="104"/>
      <c r="F8" s="104"/>
      <c r="G8" s="104"/>
      <c r="H8" s="104"/>
      <c r="I8" s="104"/>
      <c r="J8" s="151"/>
      <c r="K8" s="104"/>
      <c r="L8" s="104"/>
      <c r="M8" s="104"/>
      <c r="N8" s="151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  <c r="IW8" s="104"/>
      <c r="IX8" s="104"/>
      <c r="IY8" s="104"/>
      <c r="IZ8" s="104"/>
      <c r="JA8" s="104"/>
    </row>
    <row r="9" spans="1:261" ht="15" x14ac:dyDescent="0.25">
      <c r="A9" s="104"/>
      <c r="B9" s="152"/>
      <c r="C9" s="104"/>
      <c r="D9" s="104"/>
      <c r="E9" s="104"/>
      <c r="F9" s="104"/>
      <c r="G9" s="104"/>
      <c r="H9" s="104"/>
      <c r="I9" s="104"/>
      <c r="J9" s="151"/>
      <c r="K9" s="104"/>
      <c r="L9" s="104"/>
      <c r="M9" s="104"/>
      <c r="N9" s="151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104"/>
      <c r="IW9" s="104"/>
      <c r="IX9" s="104"/>
      <c r="IY9" s="104"/>
      <c r="IZ9" s="104"/>
      <c r="JA9" s="104"/>
    </row>
    <row r="10" spans="1:261" ht="18.75" x14ac:dyDescent="0.3">
      <c r="A10" s="104"/>
      <c r="B10" s="153"/>
      <c r="C10" s="104"/>
      <c r="D10" s="104"/>
      <c r="E10" s="104"/>
      <c r="F10" s="104"/>
      <c r="G10" s="154"/>
      <c r="H10" s="104"/>
      <c r="I10" s="154"/>
      <c r="J10" s="155"/>
      <c r="K10" s="154"/>
      <c r="L10" s="154"/>
      <c r="M10" s="154"/>
      <c r="N10" s="154"/>
      <c r="O10" s="15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51" t="s">
        <v>167</v>
      </c>
      <c r="AI10" s="151" t="s">
        <v>168</v>
      </c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</row>
    <row r="11" spans="1:261" x14ac:dyDescent="0.2">
      <c r="A11" s="104"/>
      <c r="B11" s="104"/>
      <c r="C11" s="104"/>
      <c r="D11" s="104"/>
      <c r="E11" s="104"/>
      <c r="F11" s="104"/>
      <c r="G11" s="267"/>
      <c r="H11" s="267"/>
      <c r="I11" s="104"/>
      <c r="J11" s="151"/>
      <c r="K11" s="104"/>
      <c r="L11" s="104"/>
      <c r="M11" s="104"/>
      <c r="N11" s="151"/>
      <c r="O11" s="104"/>
      <c r="P11" s="104"/>
      <c r="Q11" s="104"/>
      <c r="R11" s="104"/>
      <c r="S11" s="104"/>
      <c r="T11" s="104"/>
      <c r="U11" s="104"/>
      <c r="V11" s="104"/>
      <c r="W11" s="104"/>
      <c r="X11" s="104" t="s">
        <v>280</v>
      </c>
      <c r="Y11" s="104"/>
      <c r="Z11" s="104"/>
      <c r="AA11" s="104"/>
      <c r="AB11" s="104"/>
      <c r="AC11" s="156" t="s">
        <v>169</v>
      </c>
      <c r="AD11" s="156"/>
      <c r="AE11" s="156"/>
      <c r="AF11" s="156"/>
      <c r="AG11" s="156"/>
      <c r="AH11" s="104">
        <v>8.94</v>
      </c>
      <c r="AI11" s="157">
        <v>2.6</v>
      </c>
      <c r="AJ11" s="104"/>
      <c r="AK11" s="104" t="s">
        <v>170</v>
      </c>
      <c r="AL11" s="104"/>
      <c r="AM11" s="104">
        <v>4.26</v>
      </c>
      <c r="AN11" s="158">
        <v>1.3</v>
      </c>
      <c r="AO11" s="104" t="s">
        <v>171</v>
      </c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</row>
    <row r="12" spans="1:261" ht="15.75" thickBot="1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51"/>
      <c r="K12" s="104"/>
      <c r="L12" s="104"/>
      <c r="M12" s="104"/>
      <c r="N12" s="151"/>
      <c r="O12" s="104"/>
      <c r="P12" s="104"/>
      <c r="Q12" s="104"/>
      <c r="R12" s="104"/>
      <c r="S12" s="104"/>
      <c r="T12" s="104"/>
      <c r="U12" s="104"/>
      <c r="V12" s="104"/>
      <c r="W12" s="104"/>
      <c r="X12" s="104" t="s">
        <v>281</v>
      </c>
      <c r="Y12" s="104"/>
      <c r="Z12" s="104"/>
      <c r="AA12" s="104"/>
      <c r="AB12" s="104"/>
      <c r="AC12" s="156" t="s">
        <v>172</v>
      </c>
      <c r="AD12" s="156"/>
      <c r="AE12" s="156"/>
      <c r="AF12" s="156"/>
      <c r="AG12" s="156"/>
      <c r="AH12" s="104">
        <v>12.1</v>
      </c>
      <c r="AI12" s="157">
        <v>3.7</v>
      </c>
      <c r="AJ12" s="104"/>
      <c r="AK12" s="104" t="s">
        <v>173</v>
      </c>
      <c r="AL12" s="104"/>
      <c r="AM12" s="104">
        <v>6.48</v>
      </c>
      <c r="AN12" s="158">
        <v>2.2000000000000002</v>
      </c>
      <c r="AO12" s="104" t="s">
        <v>174</v>
      </c>
      <c r="AP12" s="104"/>
      <c r="AQ12" s="104"/>
      <c r="AR12" s="104"/>
      <c r="AS12" s="104"/>
      <c r="AT12" s="159"/>
      <c r="AU12" s="160" t="s">
        <v>175</v>
      </c>
      <c r="AV12" s="160" t="s">
        <v>176</v>
      </c>
      <c r="AW12" s="160" t="s">
        <v>177</v>
      </c>
      <c r="AX12" s="160" t="s">
        <v>178</v>
      </c>
      <c r="AY12" s="160" t="s">
        <v>179</v>
      </c>
      <c r="AZ12" s="160" t="s">
        <v>180</v>
      </c>
      <c r="BA12" s="159" t="s">
        <v>181</v>
      </c>
      <c r="BB12" s="159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</row>
    <row r="13" spans="1:261" ht="15" x14ac:dyDescent="0.25">
      <c r="A13" s="104"/>
      <c r="B13" s="104"/>
      <c r="C13" s="202"/>
      <c r="D13" s="203"/>
      <c r="E13" s="203" t="s">
        <v>357</v>
      </c>
      <c r="F13" s="203"/>
      <c r="G13" s="203"/>
      <c r="H13" s="203"/>
      <c r="I13" s="203"/>
      <c r="J13" s="204"/>
      <c r="K13" s="203"/>
      <c r="L13" s="203"/>
      <c r="M13" s="203"/>
      <c r="N13" s="204"/>
      <c r="O13" s="203"/>
      <c r="P13" s="203"/>
      <c r="Q13" s="205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69" t="s">
        <v>182</v>
      </c>
      <c r="AD13" s="169"/>
      <c r="AE13" s="169"/>
      <c r="AF13" s="169"/>
      <c r="AG13" s="104"/>
      <c r="AH13" s="104">
        <v>0</v>
      </c>
      <c r="AI13" s="157">
        <v>0</v>
      </c>
      <c r="AJ13" s="104"/>
      <c r="AK13" s="104" t="s">
        <v>183</v>
      </c>
      <c r="AL13" s="104"/>
      <c r="AM13" s="104">
        <v>6.7</v>
      </c>
      <c r="AN13" s="158">
        <v>2.6</v>
      </c>
      <c r="AO13" s="104" t="s">
        <v>184</v>
      </c>
      <c r="AP13" s="104"/>
      <c r="AQ13" s="104"/>
      <c r="AR13" s="104"/>
      <c r="AS13" s="104"/>
      <c r="AT13" s="159" t="s">
        <v>185</v>
      </c>
      <c r="AU13" s="159">
        <v>6.3E-2</v>
      </c>
      <c r="AV13" s="159">
        <v>6.7000000000000004E-2</v>
      </c>
      <c r="AW13" s="159">
        <v>6.3E-2</v>
      </c>
      <c r="AX13" s="159">
        <v>6.7000000000000004E-2</v>
      </c>
      <c r="AY13" s="159"/>
      <c r="AZ13" s="159"/>
      <c r="BA13" s="159">
        <f>+(M17-5)/100</f>
        <v>0.02</v>
      </c>
      <c r="BB13" s="159">
        <f>+IF(D17=AL28,IF(L19=AQ28,AU13,AV13),IF(L18=AQ28,AW13,AX13))+BA13</f>
        <v>8.7000000000000008E-2</v>
      </c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</row>
    <row r="14" spans="1:261" ht="15" x14ac:dyDescent="0.25">
      <c r="A14" s="104"/>
      <c r="B14" s="104"/>
      <c r="C14" s="206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07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 t="s">
        <v>170</v>
      </c>
      <c r="AD14" s="104"/>
      <c r="AE14" s="104"/>
      <c r="AF14" s="104"/>
      <c r="AG14" s="104"/>
      <c r="AH14" s="104">
        <v>4.26</v>
      </c>
      <c r="AI14" s="158">
        <v>1.3</v>
      </c>
      <c r="AJ14" s="104"/>
      <c r="AK14" s="104" t="s">
        <v>186</v>
      </c>
      <c r="AL14" s="104"/>
      <c r="AM14" s="104">
        <v>7.7</v>
      </c>
      <c r="AN14" s="158">
        <v>3.15</v>
      </c>
      <c r="AO14" s="104" t="s">
        <v>187</v>
      </c>
      <c r="AP14" s="104"/>
      <c r="AQ14" s="104"/>
      <c r="AR14" s="104"/>
      <c r="AS14" s="104"/>
      <c r="AT14" s="159" t="s">
        <v>188</v>
      </c>
      <c r="AU14" s="159">
        <v>7.1999999999999995E-2</v>
      </c>
      <c r="AV14" s="159">
        <v>7.8E-2</v>
      </c>
      <c r="AW14" s="159">
        <v>7.2999999999999995E-2</v>
      </c>
      <c r="AX14" s="159">
        <v>7.9000000000000001E-2</v>
      </c>
      <c r="AY14" s="159">
        <v>7.0000000000000007E-2</v>
      </c>
      <c r="AZ14" s="160">
        <v>7.5999999999999998E-2</v>
      </c>
      <c r="BA14" s="159">
        <f>+(M17-5)/100</f>
        <v>0.02</v>
      </c>
      <c r="BB14" s="159">
        <f>+IF(K19=AL29,IF(L19=AQ29,AU14,AV14),IF(L19=AQ29,AW14,AX14))+BA14</f>
        <v>9.1999999999999998E-2</v>
      </c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</row>
    <row r="15" spans="1:261" ht="14.85" customHeight="1" x14ac:dyDescent="0.25">
      <c r="A15" s="104"/>
      <c r="B15" s="104"/>
      <c r="C15" s="206"/>
      <c r="D15" s="261"/>
      <c r="E15" s="208"/>
      <c r="F15" s="262" t="s">
        <v>189</v>
      </c>
      <c r="G15" s="259" t="s">
        <v>190</v>
      </c>
      <c r="H15" s="261"/>
      <c r="I15" s="264" t="s">
        <v>191</v>
      </c>
      <c r="J15" s="264"/>
      <c r="K15" s="264" t="s">
        <v>191</v>
      </c>
      <c r="L15" s="264"/>
      <c r="M15" s="209"/>
      <c r="N15" s="257" t="s">
        <v>192</v>
      </c>
      <c r="O15" s="258" t="s">
        <v>193</v>
      </c>
      <c r="P15" s="259" t="s">
        <v>191</v>
      </c>
      <c r="Q15" s="207"/>
      <c r="R15" s="104"/>
      <c r="S15" s="170"/>
      <c r="T15" s="170"/>
      <c r="U15" s="170"/>
      <c r="V15" s="104"/>
      <c r="W15" s="104"/>
      <c r="X15" s="104"/>
      <c r="Y15" s="104"/>
      <c r="Z15" s="104"/>
      <c r="AA15" s="104"/>
      <c r="AB15" s="104"/>
      <c r="AC15" s="104" t="s">
        <v>173</v>
      </c>
      <c r="AD15" s="104"/>
      <c r="AE15" s="104"/>
      <c r="AF15" s="104"/>
      <c r="AG15" s="104"/>
      <c r="AH15" s="104">
        <v>6.48</v>
      </c>
      <c r="AI15" s="158">
        <v>2.2000000000000002</v>
      </c>
      <c r="AJ15" s="104"/>
      <c r="AK15" s="104" t="s">
        <v>194</v>
      </c>
      <c r="AL15" s="104"/>
      <c r="AM15" s="104">
        <v>9.2799999999999994</v>
      </c>
      <c r="AN15" s="158">
        <v>3.7</v>
      </c>
      <c r="AO15" s="104" t="s">
        <v>195</v>
      </c>
      <c r="AP15" s="104"/>
      <c r="AQ15" s="104"/>
      <c r="AR15" s="104"/>
      <c r="AS15" s="104"/>
      <c r="AT15" s="159" t="s">
        <v>196</v>
      </c>
      <c r="AU15" s="159">
        <v>9.1999999999999998E-2</v>
      </c>
      <c r="AV15" s="159">
        <v>0.10299999999999999</v>
      </c>
      <c r="AW15" s="159">
        <v>9.4E-2</v>
      </c>
      <c r="AX15" s="159">
        <v>0.106</v>
      </c>
      <c r="AY15" s="159">
        <v>9.1999999999999998E-2</v>
      </c>
      <c r="AZ15" s="159">
        <v>0.10199999999999999</v>
      </c>
      <c r="BA15" s="159">
        <f>+(M17-5)/100</f>
        <v>0.02</v>
      </c>
      <c r="BB15" s="159">
        <f>+IF(K19=AL29,IF(L19=AQ29,AU15,AV15),IF(L19=AQ29,AW15,AX15))+BA15</f>
        <v>0.112</v>
      </c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</row>
    <row r="16" spans="1:261" ht="15.75" thickBot="1" x14ac:dyDescent="0.3">
      <c r="A16" s="104"/>
      <c r="B16" s="161" t="s">
        <v>197</v>
      </c>
      <c r="C16" s="206"/>
      <c r="D16" s="261"/>
      <c r="E16" s="208"/>
      <c r="F16" s="263"/>
      <c r="G16" s="259"/>
      <c r="H16" s="261"/>
      <c r="I16" s="264"/>
      <c r="J16" s="264"/>
      <c r="K16" s="264"/>
      <c r="L16" s="264"/>
      <c r="M16" s="209"/>
      <c r="N16" s="257"/>
      <c r="O16" s="258"/>
      <c r="P16" s="259"/>
      <c r="Q16" s="161" t="s">
        <v>356</v>
      </c>
      <c r="R16" s="104"/>
      <c r="S16" s="104"/>
      <c r="T16" s="104"/>
      <c r="U16" s="104"/>
      <c r="V16" s="104"/>
      <c r="W16" s="104" t="s">
        <v>198</v>
      </c>
      <c r="X16" s="156" t="s">
        <v>193</v>
      </c>
      <c r="Y16" s="104"/>
      <c r="Z16" s="104"/>
      <c r="AA16" s="104"/>
      <c r="AB16" s="104"/>
      <c r="AC16" s="104" t="s">
        <v>183</v>
      </c>
      <c r="AD16" s="104"/>
      <c r="AE16" s="104"/>
      <c r="AF16" s="104"/>
      <c r="AG16" s="104"/>
      <c r="AH16" s="104">
        <v>6.7</v>
      </c>
      <c r="AI16" s="158">
        <v>2.6</v>
      </c>
      <c r="AJ16" s="104"/>
      <c r="AK16" s="104" t="s">
        <v>199</v>
      </c>
      <c r="AL16" s="104"/>
      <c r="AM16" s="104">
        <v>11.2</v>
      </c>
      <c r="AN16" s="158">
        <v>4.6500000000000004</v>
      </c>
      <c r="AO16" s="104" t="s">
        <v>200</v>
      </c>
      <c r="AP16" s="104"/>
      <c r="AQ16" s="104"/>
      <c r="AR16" s="104"/>
      <c r="AS16" s="104"/>
      <c r="AT16" s="159"/>
      <c r="AU16" s="159"/>
      <c r="AV16" s="159"/>
      <c r="AW16" s="159"/>
      <c r="AX16" s="159"/>
      <c r="AY16" s="159"/>
      <c r="AZ16" s="159"/>
      <c r="BA16" s="159"/>
      <c r="BB16" s="159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</row>
    <row r="17" spans="1:261" ht="17.25" thickTop="1" thickBot="1" x14ac:dyDescent="0.3">
      <c r="A17" s="104"/>
      <c r="B17" s="104"/>
      <c r="C17" s="206"/>
      <c r="D17" s="148" t="s">
        <v>201</v>
      </c>
      <c r="E17" s="148" t="s">
        <v>280</v>
      </c>
      <c r="F17" s="147">
        <f>IF(E17=X11,+IF(D17=W24,63,IF(D17=W26,63,66.5)),+IF(D17=W24,73,IF(D17=W26,73,80)))</f>
        <v>66.5</v>
      </c>
      <c r="G17" s="142">
        <f>+IF(E17=X11,+VLOOKUP(D17,W24:X29,2,FALSE),+VLOOKUP(D17,W24:Z29,4,FALSE))</f>
        <v>6.1503759398496234</v>
      </c>
      <c r="H17" s="149" t="s">
        <v>335</v>
      </c>
      <c r="I17" s="143">
        <f>+VLOOKUP(D17,W74:X77,2,FALSE)</f>
        <v>9.4700000000000006</v>
      </c>
      <c r="J17" s="113">
        <v>2</v>
      </c>
      <c r="K17" s="143">
        <f>+J17*0.722</f>
        <v>1.444</v>
      </c>
      <c r="L17" s="122" t="s">
        <v>282</v>
      </c>
      <c r="M17" s="114">
        <v>7</v>
      </c>
      <c r="N17" s="144">
        <f>+VLOOKUP(D17,W74:AA77,5,FALSE)</f>
        <v>9.4500000000000001E-2</v>
      </c>
      <c r="O17" s="145">
        <f>+VLOOKUP(L17,$W$17:$X$19,2,FALSE)</f>
        <v>197</v>
      </c>
      <c r="P17" s="146">
        <f>+O17*N17</f>
        <v>18.616499999999998</v>
      </c>
      <c r="Q17" s="207"/>
      <c r="R17" s="104"/>
      <c r="S17" s="104"/>
      <c r="T17" s="104"/>
      <c r="U17" s="104"/>
      <c r="V17" s="104">
        <v>5</v>
      </c>
      <c r="W17" s="171" t="s">
        <v>282</v>
      </c>
      <c r="X17" s="156">
        <v>197</v>
      </c>
      <c r="Y17" s="159" t="s">
        <v>202</v>
      </c>
      <c r="Z17" s="104" t="s">
        <v>203</v>
      </c>
      <c r="AA17" s="104"/>
      <c r="AB17" s="104"/>
      <c r="AC17" s="104" t="s">
        <v>186</v>
      </c>
      <c r="AD17" s="104"/>
      <c r="AE17" s="104"/>
      <c r="AF17" s="104"/>
      <c r="AG17" s="104"/>
      <c r="AH17" s="104">
        <v>7.7</v>
      </c>
      <c r="AI17" s="158">
        <v>3.15</v>
      </c>
      <c r="AJ17" s="104"/>
      <c r="AK17" s="104" t="s">
        <v>204</v>
      </c>
      <c r="AL17" s="104"/>
      <c r="AM17" s="104">
        <v>13.3</v>
      </c>
      <c r="AN17" s="158">
        <v>5.55</v>
      </c>
      <c r="AO17" s="104" t="s">
        <v>195</v>
      </c>
      <c r="AP17" s="104"/>
      <c r="AQ17" s="104"/>
      <c r="AR17" s="104"/>
      <c r="AS17" s="104"/>
      <c r="AT17" s="159" t="s">
        <v>205</v>
      </c>
      <c r="AU17" s="159">
        <f>18.9*1.59</f>
        <v>30.050999999999998</v>
      </c>
      <c r="AV17" s="159">
        <f>1.37*18.9*2</f>
        <v>51.786000000000001</v>
      </c>
      <c r="AW17" s="159">
        <f>1.5*26.3</f>
        <v>39.450000000000003</v>
      </c>
      <c r="AX17" s="159">
        <f>1.25*26.3*2</f>
        <v>65.75</v>
      </c>
      <c r="AY17" s="159"/>
      <c r="AZ17" s="159"/>
      <c r="BA17" s="159"/>
      <c r="BB17" s="159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</row>
    <row r="18" spans="1:261" ht="16.5" thickTop="1" thickBot="1" x14ac:dyDescent="0.3">
      <c r="A18" s="104"/>
      <c r="B18" s="104"/>
      <c r="C18" s="210"/>
      <c r="D18" s="211"/>
      <c r="E18" s="212"/>
      <c r="F18" s="211"/>
      <c r="G18" s="213"/>
      <c r="H18" s="214"/>
      <c r="I18" s="214"/>
      <c r="J18" s="215"/>
      <c r="K18" s="216"/>
      <c r="L18" s="217">
        <v>150</v>
      </c>
      <c r="M18" s="214"/>
      <c r="N18" s="215"/>
      <c r="O18" s="214"/>
      <c r="P18" s="216"/>
      <c r="Q18" s="172"/>
      <c r="R18" s="104"/>
      <c r="S18" s="104"/>
      <c r="T18" s="104"/>
      <c r="U18" s="104"/>
      <c r="V18" s="104">
        <v>6</v>
      </c>
      <c r="W18" s="171" t="s">
        <v>283</v>
      </c>
      <c r="X18" s="173">
        <v>150</v>
      </c>
      <c r="Y18" s="104" t="s">
        <v>206</v>
      </c>
      <c r="Z18" s="104"/>
      <c r="AA18" s="104"/>
      <c r="AB18" s="104"/>
      <c r="AC18" s="104" t="s">
        <v>194</v>
      </c>
      <c r="AD18" s="104"/>
      <c r="AE18" s="104"/>
      <c r="AF18" s="104"/>
      <c r="AG18" s="104"/>
      <c r="AH18" s="104">
        <v>9.2799999999999994</v>
      </c>
      <c r="AI18" s="158">
        <v>3.7</v>
      </c>
      <c r="AJ18" s="104"/>
      <c r="AK18" s="156" t="s">
        <v>207</v>
      </c>
      <c r="AL18" s="156"/>
      <c r="AM18" s="104">
        <v>15.3</v>
      </c>
      <c r="AN18" s="157">
        <v>3.7</v>
      </c>
      <c r="AO18" s="104" t="s">
        <v>208</v>
      </c>
      <c r="AP18" s="104"/>
      <c r="AQ18" s="104"/>
      <c r="AR18" s="104"/>
      <c r="AS18" s="104"/>
      <c r="AT18" s="159" t="s">
        <v>209</v>
      </c>
      <c r="AU18" s="159">
        <f>1.59*4.7</f>
        <v>7.4730000000000008</v>
      </c>
      <c r="AV18" s="159">
        <f>1.37*4.7</f>
        <v>6.4390000000000009</v>
      </c>
      <c r="AW18" s="159">
        <f>1.5*4.7</f>
        <v>7.0500000000000007</v>
      </c>
      <c r="AX18" s="159">
        <f>1.25*4.7</f>
        <v>5.875</v>
      </c>
      <c r="AY18" s="159"/>
      <c r="AZ18" s="159"/>
      <c r="BA18" s="159"/>
      <c r="BB18" s="159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</row>
    <row r="19" spans="1:261" ht="15" x14ac:dyDescent="0.25">
      <c r="A19" s="104"/>
      <c r="B19" s="104"/>
      <c r="C19" s="104"/>
      <c r="D19" s="162"/>
      <c r="E19" s="162"/>
      <c r="F19" s="162"/>
      <c r="G19" s="163"/>
      <c r="H19" s="164"/>
      <c r="I19" s="164"/>
      <c r="J19" s="165"/>
      <c r="K19" s="166"/>
      <c r="L19" s="164"/>
      <c r="M19" s="164"/>
      <c r="N19" s="165"/>
      <c r="O19" s="164"/>
      <c r="P19" s="166"/>
      <c r="Q19" s="164"/>
      <c r="R19" s="104"/>
      <c r="S19" s="104"/>
      <c r="T19" s="104"/>
      <c r="U19" s="104"/>
      <c r="V19" s="104">
        <v>7</v>
      </c>
      <c r="W19" s="174" t="s">
        <v>284</v>
      </c>
      <c r="X19" s="104">
        <f>+L18</f>
        <v>150</v>
      </c>
      <c r="Y19" s="104"/>
      <c r="Z19" s="104"/>
      <c r="AA19" s="104"/>
      <c r="AB19" s="104"/>
      <c r="AC19" s="104" t="s">
        <v>199</v>
      </c>
      <c r="AD19" s="104"/>
      <c r="AE19" s="104"/>
      <c r="AF19" s="104"/>
      <c r="AG19" s="104"/>
      <c r="AH19" s="104">
        <v>11.2</v>
      </c>
      <c r="AI19" s="158">
        <v>4.6500000000000004</v>
      </c>
      <c r="AJ19" s="104"/>
      <c r="AK19" s="156" t="s">
        <v>210</v>
      </c>
      <c r="AL19" s="156"/>
      <c r="AM19" s="104">
        <v>19.5</v>
      </c>
      <c r="AN19" s="157">
        <v>4.6500000000000004</v>
      </c>
      <c r="AO19" s="104"/>
      <c r="AP19" s="104"/>
      <c r="AQ19" s="104"/>
      <c r="AR19" s="104"/>
      <c r="AS19" s="104"/>
      <c r="AT19" s="159" t="s">
        <v>211</v>
      </c>
      <c r="AU19" s="159">
        <f>1.59*5.9</f>
        <v>9.3810000000000002</v>
      </c>
      <c r="AV19" s="159">
        <f>1.37*5.9</f>
        <v>8.083000000000002</v>
      </c>
      <c r="AW19" s="159">
        <f>1.5*5.9</f>
        <v>8.8500000000000014</v>
      </c>
      <c r="AX19" s="159">
        <f>1.25*5.9</f>
        <v>7.375</v>
      </c>
      <c r="AY19" s="159"/>
      <c r="AZ19" s="159"/>
      <c r="BA19" s="159"/>
      <c r="BB19" s="159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</row>
    <row r="20" spans="1:261" ht="15.75" x14ac:dyDescent="0.25">
      <c r="A20" s="104"/>
      <c r="B20" s="104"/>
      <c r="C20" s="104"/>
      <c r="D20" s="104"/>
      <c r="E20" s="104"/>
      <c r="F20" s="167"/>
      <c r="G20" s="168"/>
      <c r="H20" s="104"/>
      <c r="I20" s="164"/>
      <c r="J20" s="165"/>
      <c r="K20" s="166"/>
      <c r="L20" s="164"/>
      <c r="M20" s="164"/>
      <c r="N20" s="165"/>
      <c r="O20" s="164"/>
      <c r="P20" s="166"/>
      <c r="Q20" s="164"/>
      <c r="R20" s="104"/>
      <c r="S20" s="104"/>
      <c r="T20" s="104"/>
      <c r="U20" s="104"/>
      <c r="V20" s="104">
        <v>8</v>
      </c>
      <c r="W20" s="156"/>
      <c r="X20" s="156"/>
      <c r="Y20" s="156"/>
      <c r="Z20" s="104"/>
      <c r="AA20" s="104"/>
      <c r="AB20" s="104"/>
      <c r="AC20" s="104" t="s">
        <v>204</v>
      </c>
      <c r="AD20" s="104"/>
      <c r="AE20" s="104"/>
      <c r="AF20" s="104"/>
      <c r="AG20" s="104"/>
      <c r="AH20" s="104">
        <v>13.3</v>
      </c>
      <c r="AI20" s="158">
        <v>5.55</v>
      </c>
      <c r="AJ20" s="104"/>
      <c r="AK20" s="156" t="s">
        <v>212</v>
      </c>
      <c r="AL20" s="156"/>
      <c r="AM20" s="104">
        <v>22.3</v>
      </c>
      <c r="AN20" s="157">
        <v>5.55</v>
      </c>
      <c r="AO20" s="104"/>
      <c r="AP20" s="104"/>
      <c r="AQ20" s="104"/>
      <c r="AR20" s="104"/>
      <c r="AS20" s="104"/>
      <c r="AT20" s="175" t="s">
        <v>213</v>
      </c>
      <c r="AU20" s="175">
        <v>180</v>
      </c>
      <c r="AV20" s="175">
        <v>208</v>
      </c>
      <c r="AW20" s="175">
        <v>188</v>
      </c>
      <c r="AX20" s="175">
        <v>221</v>
      </c>
      <c r="AY20" s="175"/>
      <c r="AZ20" s="175"/>
      <c r="BA20" s="159"/>
      <c r="BB20" s="159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</row>
    <row r="21" spans="1:261" ht="15" x14ac:dyDescent="0.25">
      <c r="A21" s="104"/>
      <c r="B21" s="104"/>
      <c r="C21" s="104"/>
      <c r="D21" s="162"/>
      <c r="E21" s="162"/>
      <c r="F21" s="162"/>
      <c r="G21" s="163"/>
      <c r="H21" s="164"/>
      <c r="I21" s="164"/>
      <c r="J21" s="165"/>
      <c r="K21" s="166"/>
      <c r="L21" s="164"/>
      <c r="M21" s="164"/>
      <c r="N21" s="165"/>
      <c r="O21" s="164"/>
      <c r="P21" s="166"/>
      <c r="Q21" s="16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56" t="s">
        <v>207</v>
      </c>
      <c r="AD21" s="156"/>
      <c r="AE21" s="156"/>
      <c r="AF21" s="156"/>
      <c r="AG21" s="156"/>
      <c r="AH21" s="104">
        <v>15.3</v>
      </c>
      <c r="AI21" s="157">
        <v>3.7</v>
      </c>
      <c r="AJ21" s="104"/>
      <c r="AK21" s="156" t="s">
        <v>214</v>
      </c>
      <c r="AL21" s="156"/>
      <c r="AM21" s="104">
        <v>19.8</v>
      </c>
      <c r="AN21" s="157">
        <v>3.15</v>
      </c>
      <c r="AO21" s="104"/>
      <c r="AP21" s="104"/>
      <c r="AQ21" s="104"/>
      <c r="AR21" s="104"/>
      <c r="AS21" s="104"/>
      <c r="AT21" s="175" t="s">
        <v>215</v>
      </c>
      <c r="AU21" s="175">
        <v>200</v>
      </c>
      <c r="AV21" s="175">
        <v>234</v>
      </c>
      <c r="AW21" s="175">
        <v>209</v>
      </c>
      <c r="AX21" s="175">
        <v>251</v>
      </c>
      <c r="AY21" s="175">
        <v>211</v>
      </c>
      <c r="AZ21" s="175">
        <v>253</v>
      </c>
      <c r="BA21" s="175"/>
      <c r="BB21" s="175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</row>
    <row r="22" spans="1:261" ht="18.75" x14ac:dyDescent="0.3">
      <c r="A22" s="104"/>
      <c r="B22" s="104"/>
      <c r="C22" s="104"/>
      <c r="D22" s="260" t="s">
        <v>216</v>
      </c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176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56" t="s">
        <v>210</v>
      </c>
      <c r="AD22" s="156"/>
      <c r="AE22" s="156"/>
      <c r="AF22" s="156"/>
      <c r="AG22" s="156"/>
      <c r="AH22" s="104">
        <v>19.5</v>
      </c>
      <c r="AI22" s="157">
        <v>4.6500000000000004</v>
      </c>
      <c r="AJ22" s="104"/>
      <c r="AK22" s="156" t="s">
        <v>169</v>
      </c>
      <c r="AL22" s="156"/>
      <c r="AM22" s="104">
        <v>8.94</v>
      </c>
      <c r="AN22" s="157">
        <v>2.6</v>
      </c>
      <c r="AO22" s="104"/>
      <c r="AP22" s="104"/>
      <c r="AQ22" s="104"/>
      <c r="AR22" s="104"/>
      <c r="AS22" s="104"/>
      <c r="AT22" s="175" t="s">
        <v>217</v>
      </c>
      <c r="AU22" s="175">
        <v>259</v>
      </c>
      <c r="AV22" s="175">
        <v>302</v>
      </c>
      <c r="AW22" s="175">
        <v>271</v>
      </c>
      <c r="AX22" s="175">
        <v>322</v>
      </c>
      <c r="AY22" s="175">
        <v>273</v>
      </c>
      <c r="AZ22" s="175">
        <v>324</v>
      </c>
      <c r="BA22" s="159"/>
      <c r="BB22" s="159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</row>
    <row r="23" spans="1:261" ht="15" x14ac:dyDescent="0.25">
      <c r="A23" s="104"/>
      <c r="B23" s="104"/>
      <c r="C23" s="104"/>
      <c r="D23" s="162"/>
      <c r="E23" s="162"/>
      <c r="F23" s="162"/>
      <c r="G23" s="163"/>
      <c r="H23" s="164"/>
      <c r="I23" s="164"/>
      <c r="J23" s="165"/>
      <c r="K23" s="164"/>
      <c r="L23" s="164"/>
      <c r="M23" s="164"/>
      <c r="N23" s="106"/>
      <c r="O23" s="105"/>
      <c r="P23" s="105"/>
      <c r="Q23" s="164"/>
      <c r="R23" s="104"/>
      <c r="S23" s="104"/>
      <c r="T23" s="104"/>
      <c r="U23" s="104"/>
      <c r="V23" s="104"/>
      <c r="W23" s="104" t="s">
        <v>101</v>
      </c>
      <c r="X23" s="104" t="s">
        <v>285</v>
      </c>
      <c r="Y23" s="156" t="s">
        <v>224</v>
      </c>
      <c r="Z23" s="104" t="s">
        <v>286</v>
      </c>
      <c r="AA23" s="104" t="s">
        <v>287</v>
      </c>
      <c r="AB23" s="104"/>
      <c r="AC23" s="156" t="s">
        <v>212</v>
      </c>
      <c r="AD23" s="156"/>
      <c r="AE23" s="156"/>
      <c r="AF23" s="156"/>
      <c r="AG23" s="156"/>
      <c r="AH23" s="104">
        <v>22.3</v>
      </c>
      <c r="AI23" s="157">
        <v>5.55</v>
      </c>
      <c r="AJ23" s="104"/>
      <c r="AK23" s="156" t="s">
        <v>172</v>
      </c>
      <c r="AL23" s="156"/>
      <c r="AM23" s="104">
        <v>12.1</v>
      </c>
      <c r="AN23" s="157">
        <v>3.7</v>
      </c>
      <c r="AO23" s="104"/>
      <c r="AP23" s="104"/>
      <c r="AQ23" s="104"/>
      <c r="AR23" s="104"/>
      <c r="AS23" s="104"/>
      <c r="AT23" s="159" t="s">
        <v>218</v>
      </c>
      <c r="AU23" s="159">
        <f>+AU20+($AR$13*2400)</f>
        <v>180</v>
      </c>
      <c r="AV23" s="159">
        <f t="shared" ref="AV23:AX23" si="0">+AV20+($AR$13*2400)</f>
        <v>208</v>
      </c>
      <c r="AW23" s="159">
        <f t="shared" si="0"/>
        <v>188</v>
      </c>
      <c r="AX23" s="159">
        <f t="shared" si="0"/>
        <v>221</v>
      </c>
      <c r="AY23" s="159"/>
      <c r="AZ23" s="159"/>
      <c r="BA23" s="159"/>
      <c r="BB23" s="159">
        <f>+IF(K19=AL29,IF(L19=AQ29,AU23,AV23),IF(L19=AQ29,AW23,AX23))</f>
        <v>180</v>
      </c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</row>
    <row r="24" spans="1:261" ht="15" x14ac:dyDescent="0.25">
      <c r="A24" s="104"/>
      <c r="B24" s="104"/>
      <c r="C24" s="104"/>
      <c r="D24" s="116"/>
      <c r="E24" s="116"/>
      <c r="F24" s="116"/>
      <c r="G24" s="115"/>
      <c r="I24" s="105"/>
      <c r="K24" s="105"/>
      <c r="O24" s="105"/>
      <c r="P24" s="105"/>
      <c r="Q24" s="164"/>
      <c r="R24" s="104"/>
      <c r="S24" s="104"/>
      <c r="T24" s="104"/>
      <c r="U24" s="104"/>
      <c r="V24" s="104"/>
      <c r="W24" s="156" t="s">
        <v>223</v>
      </c>
      <c r="X24" s="177">
        <f>+Y24/0.63</f>
        <v>4.6349206349206344</v>
      </c>
      <c r="Y24" s="156">
        <v>2.92</v>
      </c>
      <c r="Z24" s="178">
        <f>+Y24*AA24</f>
        <v>7.9999999999999991</v>
      </c>
      <c r="AA24" s="178">
        <f>1/0.73*2</f>
        <v>2.7397260273972601</v>
      </c>
      <c r="AB24" s="104"/>
      <c r="AC24" s="169" t="s">
        <v>182</v>
      </c>
      <c r="AD24" s="169"/>
      <c r="AE24" s="169"/>
      <c r="AF24" s="169"/>
      <c r="AG24" s="104"/>
      <c r="AH24" s="104">
        <v>0</v>
      </c>
      <c r="AI24" s="157">
        <v>0</v>
      </c>
      <c r="AJ24" s="104"/>
      <c r="AK24" s="156" t="s">
        <v>219</v>
      </c>
      <c r="AL24" s="156"/>
      <c r="AM24" s="104">
        <v>13.7</v>
      </c>
      <c r="AN24" s="157">
        <v>4.6500000000000004</v>
      </c>
      <c r="AO24" s="104"/>
      <c r="AP24" s="104"/>
      <c r="AQ24" s="104"/>
      <c r="AR24" s="104"/>
      <c r="AS24" s="104"/>
      <c r="AT24" s="159" t="s">
        <v>220</v>
      </c>
      <c r="AU24" s="159">
        <f>+AU21+($AR$14*2400)</f>
        <v>200</v>
      </c>
      <c r="AV24" s="159">
        <f>+AV21+($AR$14*2400)</f>
        <v>234</v>
      </c>
      <c r="AW24" s="159">
        <f>+AW21+($AR$14*2400)</f>
        <v>209</v>
      </c>
      <c r="AX24" s="159">
        <f>+AX21+($AR$14*2400)</f>
        <v>251</v>
      </c>
      <c r="AY24" s="159"/>
      <c r="AZ24" s="159"/>
      <c r="BA24" s="159"/>
      <c r="BB24" s="159">
        <f>+IF(K19=AL29,IF(L19=AQ29,AU24,AV24),IF(L19=AQ29,AW24,AX24))</f>
        <v>200</v>
      </c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</row>
    <row r="25" spans="1:261" ht="15" customHeight="1" thickBot="1" x14ac:dyDescent="0.3">
      <c r="A25" s="104"/>
      <c r="B25" s="104"/>
      <c r="C25" s="104"/>
      <c r="J25"/>
      <c r="N25"/>
      <c r="Q25" s="104"/>
      <c r="R25" s="104"/>
      <c r="S25" s="104"/>
      <c r="T25" s="104"/>
      <c r="U25" s="104"/>
      <c r="V25" s="104"/>
      <c r="W25" s="156" t="s">
        <v>201</v>
      </c>
      <c r="X25" s="177">
        <f>+Y25/0.665</f>
        <v>6.1503759398496234</v>
      </c>
      <c r="Y25" s="156">
        <v>4.09</v>
      </c>
      <c r="Z25" s="178">
        <f t="shared" ref="Z25:Z26" si="1">+Y25*AA25</f>
        <v>10.225</v>
      </c>
      <c r="AA25" s="178">
        <f>1/0.8*2</f>
        <v>2.5</v>
      </c>
      <c r="AB25" s="104"/>
      <c r="AC25" s="169"/>
      <c r="AD25" s="169"/>
      <c r="AE25" s="169"/>
      <c r="AF25" s="169"/>
      <c r="AG25" s="104"/>
      <c r="AH25" s="104"/>
      <c r="AI25" s="157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59" t="s">
        <v>221</v>
      </c>
      <c r="AU25" s="159">
        <f>+AU22+($AR$15*2400)</f>
        <v>259</v>
      </c>
      <c r="AV25" s="159">
        <f>+AV22+($AR$15*2400)</f>
        <v>302</v>
      </c>
      <c r="AW25" s="159">
        <f>+AW22+($AR$15*2400)</f>
        <v>271</v>
      </c>
      <c r="AX25" s="159">
        <f>+AX22+($AR$15*2400)</f>
        <v>322</v>
      </c>
      <c r="AY25" s="159"/>
      <c r="AZ25" s="159"/>
      <c r="BA25" s="159"/>
      <c r="BB25" s="159">
        <f>+IF(K19=AL29,IF(L19=AQ29,AU25,AV25),IF(L19=AQ29,AW25,AX25))+BA25</f>
        <v>259</v>
      </c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</row>
    <row r="26" spans="1:261" ht="15" customHeight="1" thickTop="1" thickBot="1" x14ac:dyDescent="0.3">
      <c r="A26" s="104"/>
      <c r="B26" s="104"/>
      <c r="C26" s="104"/>
      <c r="D26" s="255">
        <f>+G17</f>
        <v>6.1503759398496234</v>
      </c>
      <c r="E26" s="256"/>
      <c r="H26" s="123">
        <f>IF(+I17=0,"choisir un entrevous ou seacisol",I17)</f>
        <v>9.4700000000000006</v>
      </c>
      <c r="I26" s="117"/>
      <c r="J26" s="118">
        <f>+K17</f>
        <v>1.444</v>
      </c>
      <c r="K26" s="117"/>
      <c r="L26" s="243">
        <f>+P17</f>
        <v>18.616499999999998</v>
      </c>
      <c r="M26" s="244"/>
      <c r="N26" s="117"/>
      <c r="O26" s="117"/>
      <c r="P26" s="117"/>
      <c r="Q26" s="179"/>
      <c r="R26" s="104"/>
      <c r="S26" s="104"/>
      <c r="T26" s="104"/>
      <c r="U26" s="104"/>
      <c r="V26" s="104"/>
      <c r="W26" s="156" t="s">
        <v>228</v>
      </c>
      <c r="X26" s="177">
        <f>+Y26/0.63</f>
        <v>6.4920634920634921</v>
      </c>
      <c r="Y26" s="156">
        <v>4.09</v>
      </c>
      <c r="Z26" s="178">
        <f t="shared" si="1"/>
        <v>11.205479452054794</v>
      </c>
      <c r="AA26" s="178">
        <f>1/0.73*2</f>
        <v>2.7397260273972601</v>
      </c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59" t="s">
        <v>222</v>
      </c>
      <c r="AU26" s="180">
        <f>+IF($G$19=$Y$34,1/0.63*$AB$34,IF($G$19=$Y$35,1/0.63*$AB$35,1/0.63*$AB$36))</f>
        <v>0</v>
      </c>
      <c r="AV26" s="180">
        <f>+IF($G$19=$Y$34,1/0.73*$AB$34,IF($G$19=$Y$35,1/0.73*$AB$35,1/0.73*$AB$36))</f>
        <v>0</v>
      </c>
      <c r="AW26" s="180">
        <f>+IF($G$19=$Y$34,1/0.665*$AB$34,IF($G$19=$Y$35,1/0.665*$AB$35,1/0.665*$AB$36))</f>
        <v>0</v>
      </c>
      <c r="AX26" s="180">
        <f>+IF($G$19=$Y$34,1/0.8*$AB$34,IF($G$19=$Y$35,1/0.8*$AB$35,1/0.8*$AB$36))</f>
        <v>0</v>
      </c>
      <c r="AY26" s="159"/>
      <c r="AZ26" s="159"/>
      <c r="BA26" s="159"/>
      <c r="BB26" s="159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</row>
    <row r="27" spans="1:261" ht="13.5" thickTop="1" x14ac:dyDescent="0.2">
      <c r="A27" s="104"/>
      <c r="B27" s="104"/>
      <c r="C27" s="104"/>
      <c r="D27" s="164"/>
      <c r="E27" s="164"/>
      <c r="F27" s="164"/>
      <c r="G27" s="164"/>
      <c r="H27" s="184"/>
      <c r="I27" s="185"/>
      <c r="J27" s="185"/>
      <c r="K27" s="185"/>
      <c r="L27" s="185"/>
      <c r="M27" s="186"/>
      <c r="N27" s="185"/>
      <c r="O27" s="185"/>
      <c r="P27" s="185"/>
      <c r="Q27" s="179"/>
      <c r="R27" s="104"/>
      <c r="S27" s="104"/>
      <c r="T27" s="104"/>
      <c r="U27" s="104"/>
      <c r="V27" s="104"/>
      <c r="W27" s="156" t="s">
        <v>288</v>
      </c>
      <c r="X27" s="181" t="s">
        <v>289</v>
      </c>
      <c r="Y27" s="156" t="s">
        <v>224</v>
      </c>
      <c r="Z27" s="181" t="s">
        <v>289</v>
      </c>
      <c r="AA27" s="104"/>
      <c r="AB27" s="104"/>
      <c r="AC27" s="156" t="s">
        <v>225</v>
      </c>
      <c r="AD27" s="169"/>
      <c r="AE27" s="169"/>
      <c r="AF27" s="169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</row>
    <row r="28" spans="1:261" ht="15.75" x14ac:dyDescent="0.25">
      <c r="A28" s="104"/>
      <c r="B28" s="104"/>
      <c r="C28" s="104"/>
      <c r="D28" s="245" t="s">
        <v>226</v>
      </c>
      <c r="E28" s="246"/>
      <c r="F28" s="246"/>
      <c r="G28" s="246"/>
      <c r="H28" s="247"/>
      <c r="J28" s="151"/>
      <c r="K28" s="164"/>
      <c r="L28" s="190"/>
      <c r="M28" s="164"/>
      <c r="N28" s="165"/>
      <c r="O28" s="164"/>
      <c r="P28" s="164"/>
      <c r="Q28" s="164"/>
      <c r="R28" s="104"/>
      <c r="S28" s="104"/>
      <c r="T28" s="104"/>
      <c r="U28" s="104"/>
      <c r="V28" s="104"/>
      <c r="W28" s="156"/>
      <c r="X28" s="181"/>
      <c r="Y28" s="156"/>
      <c r="Z28" s="181"/>
      <c r="AA28" s="104"/>
      <c r="AB28" s="104"/>
      <c r="AC28" s="156" t="s">
        <v>227</v>
      </c>
      <c r="AD28" s="169"/>
      <c r="AE28" s="169"/>
      <c r="AF28" s="169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</row>
    <row r="29" spans="1:261" ht="15.75" x14ac:dyDescent="0.25">
      <c r="A29" s="104"/>
      <c r="B29" s="104"/>
      <c r="C29" s="104"/>
      <c r="D29" s="248" t="str">
        <f>IF(E17="s","plancher"&amp;" "&amp;+VLOOKUP(H17,U42:V70,2,FALSE)&amp;" "&amp;"+"&amp;" "&amp;M17,"plancher"&amp;" "&amp;+VLOOKUP(H17,U42:V70,2,FALSE)&amp;" "&amp;"+"&amp;" "&amp;M17&amp;" jum")</f>
        <v>plancher polyseac  15 UP 23 + 7</v>
      </c>
      <c r="E29" s="249"/>
      <c r="F29" s="249"/>
      <c r="G29" s="249"/>
      <c r="H29" s="250"/>
      <c r="J29" s="151"/>
      <c r="K29" s="164"/>
      <c r="L29" s="191"/>
      <c r="M29" s="164"/>
      <c r="N29" s="165"/>
      <c r="O29" s="164"/>
      <c r="P29" s="164"/>
      <c r="Q29" s="164"/>
      <c r="R29" s="104"/>
      <c r="S29" s="104"/>
      <c r="T29" s="104"/>
      <c r="U29" s="104"/>
      <c r="V29" s="104"/>
      <c r="W29" s="156"/>
      <c r="X29" s="181"/>
      <c r="Y29" s="156"/>
      <c r="Z29" s="181"/>
      <c r="AA29" s="104"/>
      <c r="AB29" s="104"/>
      <c r="AC29" s="156" t="s">
        <v>229</v>
      </c>
      <c r="AD29" s="169"/>
      <c r="AE29" s="169"/>
      <c r="AF29" s="169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</row>
    <row r="30" spans="1:261" ht="13.5" thickBot="1" x14ac:dyDescent="0.25">
      <c r="A30" s="104"/>
      <c r="B30" s="104"/>
      <c r="C30" s="104"/>
      <c r="D30" s="182"/>
      <c r="E30" s="182"/>
      <c r="F30" s="169"/>
      <c r="G30" s="163"/>
      <c r="H30" s="104"/>
      <c r="I30" s="164"/>
      <c r="J30" s="151"/>
      <c r="K30" s="164"/>
      <c r="L30" s="104"/>
      <c r="M30" s="104"/>
      <c r="N30" s="151"/>
      <c r="O30" s="164"/>
      <c r="P30" s="164"/>
      <c r="Q30" s="16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</row>
    <row r="31" spans="1:261" ht="13.5" thickTop="1" x14ac:dyDescent="0.2">
      <c r="A31" s="104"/>
      <c r="B31" s="104"/>
      <c r="C31" s="104"/>
      <c r="D31" s="104"/>
      <c r="E31" s="104"/>
      <c r="F31" s="104"/>
      <c r="G31" s="104"/>
      <c r="H31" s="104"/>
      <c r="I31" s="104"/>
      <c r="J31" s="151"/>
      <c r="L31" s="251">
        <f>IF(D17=W27,H26+J26+L26,+D26+H26+J26+L26)</f>
        <v>35.680875939849621</v>
      </c>
      <c r="M31" s="252"/>
      <c r="Q31" s="242" t="s">
        <v>361</v>
      </c>
      <c r="R31" s="242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</row>
    <row r="32" spans="1:261" ht="13.5" thickBot="1" x14ac:dyDescent="0.25">
      <c r="A32" s="104"/>
      <c r="B32" s="104"/>
      <c r="C32" s="104"/>
      <c r="D32" s="192"/>
      <c r="E32" s="192"/>
      <c r="F32" s="104"/>
      <c r="G32" s="104"/>
      <c r="H32" s="104"/>
      <c r="I32" s="104"/>
      <c r="J32" s="151"/>
      <c r="L32" s="253"/>
      <c r="M32" s="254"/>
      <c r="Q32" s="242"/>
      <c r="R32" s="242"/>
      <c r="S32" s="104"/>
      <c r="T32" s="104"/>
      <c r="U32" s="104"/>
      <c r="V32" s="104"/>
      <c r="W32" s="104"/>
      <c r="X32" s="104" t="s">
        <v>230</v>
      </c>
      <c r="Y32" s="182" t="s">
        <v>168</v>
      </c>
      <c r="Z32" s="104"/>
      <c r="AA32" s="104"/>
      <c r="AB32" s="104"/>
      <c r="AC32" s="104" t="s">
        <v>231</v>
      </c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</row>
    <row r="33" spans="1:261" ht="13.5" thickTop="1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51"/>
      <c r="K33" s="104"/>
      <c r="L33" s="104"/>
      <c r="M33" s="104"/>
      <c r="N33" s="151"/>
      <c r="O33" s="104"/>
      <c r="P33" s="104"/>
      <c r="Q33" s="104"/>
      <c r="R33" s="104"/>
      <c r="S33" s="104"/>
      <c r="T33" s="104"/>
      <c r="U33" s="104"/>
      <c r="V33" s="104"/>
      <c r="W33" s="104" t="s">
        <v>19</v>
      </c>
      <c r="X33" s="104">
        <v>-4.68</v>
      </c>
      <c r="Y33" s="157">
        <v>0</v>
      </c>
      <c r="Z33" s="104" t="s">
        <v>232</v>
      </c>
      <c r="AA33" s="104"/>
      <c r="AB33" s="104"/>
      <c r="AC33" s="156" t="s">
        <v>233</v>
      </c>
      <c r="AD33" s="156"/>
      <c r="AE33" s="156"/>
      <c r="AF33" s="156"/>
      <c r="AG33" s="156">
        <v>1.23</v>
      </c>
      <c r="AH33" s="156" t="s">
        <v>234</v>
      </c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</row>
    <row r="34" spans="1:261" ht="15" x14ac:dyDescent="0.25">
      <c r="A34" s="104"/>
      <c r="B34" s="104"/>
      <c r="C34" s="104"/>
      <c r="D34" s="104"/>
      <c r="E34" s="104"/>
      <c r="F34" s="104"/>
      <c r="G34" s="104"/>
      <c r="H34" s="104"/>
      <c r="I34" s="104"/>
      <c r="J34" s="151"/>
      <c r="K34" s="104"/>
      <c r="L34" s="193"/>
      <c r="M34" s="104"/>
      <c r="N34" s="151"/>
      <c r="O34" s="104"/>
      <c r="P34" s="104"/>
      <c r="Q34" s="104"/>
      <c r="R34" s="104"/>
      <c r="S34" s="104"/>
      <c r="T34" s="104"/>
      <c r="U34" s="104"/>
      <c r="V34" s="104"/>
      <c r="W34" s="104" t="s">
        <v>235</v>
      </c>
      <c r="X34" s="104">
        <v>6.24</v>
      </c>
      <c r="Y34" s="157">
        <v>0</v>
      </c>
      <c r="Z34" s="104" t="s">
        <v>236</v>
      </c>
      <c r="AA34" s="104"/>
      <c r="AB34" s="104"/>
      <c r="AC34" s="156" t="s">
        <v>237</v>
      </c>
      <c r="AD34" s="156"/>
      <c r="AE34" s="156"/>
      <c r="AF34" s="156"/>
      <c r="AG34" s="156">
        <v>3.68</v>
      </c>
      <c r="AH34" s="156" t="s">
        <v>234</v>
      </c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</row>
    <row r="35" spans="1:261" x14ac:dyDescent="0.2">
      <c r="A35" s="104"/>
      <c r="B35" s="104"/>
      <c r="C35" s="104"/>
      <c r="D35" s="104"/>
      <c r="E35" s="104"/>
      <c r="F35" s="178"/>
      <c r="G35" s="104"/>
      <c r="H35" s="104"/>
      <c r="I35" s="104"/>
      <c r="J35" s="151"/>
      <c r="K35" s="104"/>
      <c r="L35" s="104"/>
      <c r="M35" s="104"/>
      <c r="N35" s="151"/>
      <c r="O35" s="104"/>
      <c r="P35" s="104"/>
      <c r="Q35" s="104"/>
      <c r="R35" s="104"/>
      <c r="S35" s="104"/>
      <c r="T35" s="104"/>
      <c r="U35" s="104"/>
      <c r="V35" s="104"/>
      <c r="W35" s="104" t="s">
        <v>238</v>
      </c>
      <c r="X35" s="104">
        <v>17.600000000000001</v>
      </c>
      <c r="Y35" s="183">
        <v>8.75</v>
      </c>
      <c r="Z35" s="104" t="s">
        <v>232</v>
      </c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</row>
    <row r="36" spans="1:261" ht="15.75" x14ac:dyDescent="0.2">
      <c r="A36" s="104"/>
      <c r="B36" s="104"/>
      <c r="C36" s="104"/>
      <c r="D36" s="187" t="s">
        <v>239</v>
      </c>
      <c r="E36" s="187"/>
      <c r="F36" s="178"/>
      <c r="G36" s="104"/>
      <c r="H36" s="104"/>
      <c r="I36" s="104"/>
      <c r="J36" s="151"/>
      <c r="K36" s="104"/>
      <c r="L36" s="104"/>
      <c r="M36" s="104"/>
      <c r="N36" s="151"/>
      <c r="O36" s="104"/>
      <c r="P36" s="104"/>
      <c r="Q36" s="104"/>
      <c r="R36" s="104"/>
      <c r="S36" s="104"/>
      <c r="T36" s="104"/>
      <c r="U36" s="104"/>
      <c r="V36" s="104"/>
      <c r="W36" s="104" t="s">
        <v>240</v>
      </c>
      <c r="X36" s="104">
        <v>17.600000000000001</v>
      </c>
      <c r="Y36" s="183">
        <v>6.33</v>
      </c>
      <c r="Z36" s="104" t="s">
        <v>232</v>
      </c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</row>
    <row r="37" spans="1:261" ht="15" x14ac:dyDescent="0.25">
      <c r="A37" s="104"/>
      <c r="B37" s="104"/>
      <c r="C37" s="104"/>
      <c r="D37" s="188" t="str">
        <f>+IF(D17=W24,AG39,AG40)</f>
        <v>FDES_Poutrelle_BP H 12_15 cm_03.2020 n°1-73:2020</v>
      </c>
      <c r="E37" s="188"/>
      <c r="F37" s="178"/>
      <c r="G37" s="104"/>
      <c r="H37" s="104"/>
      <c r="I37" s="104"/>
      <c r="J37" s="151"/>
      <c r="K37" s="104"/>
      <c r="L37" s="104"/>
      <c r="M37" s="104"/>
      <c r="N37" s="151"/>
      <c r="O37" s="104"/>
      <c r="P37" s="104"/>
      <c r="Q37" s="104"/>
      <c r="R37" s="104"/>
      <c r="S37" s="104"/>
      <c r="T37" s="104"/>
      <c r="U37" s="104"/>
      <c r="V37" s="104"/>
      <c r="W37" s="104" t="s">
        <v>241</v>
      </c>
      <c r="X37" s="104">
        <v>12.8</v>
      </c>
      <c r="Y37" s="183">
        <v>4.92</v>
      </c>
      <c r="Z37" s="104" t="s">
        <v>232</v>
      </c>
      <c r="AA37" s="104"/>
      <c r="AB37" s="104"/>
      <c r="AC37" s="104"/>
      <c r="AD37" s="104"/>
      <c r="AE37" s="104"/>
      <c r="AF37" s="104"/>
      <c r="AG37" s="104">
        <v>930</v>
      </c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</row>
    <row r="38" spans="1:261" ht="15" x14ac:dyDescent="0.25">
      <c r="A38" s="104"/>
      <c r="B38" s="104"/>
      <c r="C38" s="104"/>
      <c r="D38" s="189" t="str">
        <f>+VLOOKUP(H17,$W$42:$AG$70,11,FALSE)</f>
        <v>FDES POLYSEAC UP23 INIES : n°20260148577</v>
      </c>
      <c r="E38" s="189"/>
      <c r="F38" s="178"/>
      <c r="G38" s="104"/>
      <c r="H38" s="104"/>
      <c r="I38" s="104"/>
      <c r="J38" s="151"/>
      <c r="K38" s="104"/>
      <c r="L38" s="104"/>
      <c r="M38" s="104"/>
      <c r="N38" s="151"/>
      <c r="O38" s="104"/>
      <c r="P38" s="104"/>
      <c r="Q38" s="104"/>
      <c r="R38" s="104"/>
      <c r="S38" s="104"/>
      <c r="T38" s="104"/>
      <c r="U38" s="104"/>
      <c r="V38" s="104"/>
      <c r="W38" s="104" t="s">
        <v>242</v>
      </c>
      <c r="X38" s="104">
        <v>9.66</v>
      </c>
      <c r="Y38" s="183">
        <v>4.01</v>
      </c>
      <c r="Z38" s="104" t="s">
        <v>232</v>
      </c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</row>
    <row r="39" spans="1:261" ht="15" x14ac:dyDescent="0.25">
      <c r="A39" s="104"/>
      <c r="B39" s="104"/>
      <c r="C39" s="104"/>
      <c r="D39" s="188" t="str">
        <f>+AG72</f>
        <v>APA_FDES__Armatures catalogue_2023_06_v1.3</v>
      </c>
      <c r="E39" s="188"/>
      <c r="F39" s="178"/>
      <c r="G39" s="104"/>
      <c r="H39" s="104"/>
      <c r="I39" s="104"/>
      <c r="J39" s="151"/>
      <c r="K39" s="104"/>
      <c r="L39" s="104"/>
      <c r="M39" s="104"/>
      <c r="N39" s="151"/>
      <c r="O39" s="104"/>
      <c r="P39" s="104"/>
      <c r="Q39" s="104"/>
      <c r="R39" s="104"/>
      <c r="S39" s="104"/>
      <c r="T39" s="104"/>
      <c r="U39" s="104"/>
      <c r="V39" s="104"/>
      <c r="W39" s="104" t="s">
        <v>243</v>
      </c>
      <c r="X39" s="104">
        <v>9.66</v>
      </c>
      <c r="Y39" s="183">
        <v>3.36</v>
      </c>
      <c r="Z39" s="104" t="s">
        <v>232</v>
      </c>
      <c r="AA39" s="104"/>
      <c r="AB39" s="104"/>
      <c r="AC39" s="104"/>
      <c r="AD39" s="104"/>
      <c r="AE39" s="104"/>
      <c r="AF39" s="104"/>
      <c r="AG39" s="159" t="s">
        <v>244</v>
      </c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</row>
    <row r="40" spans="1:261" ht="15" x14ac:dyDescent="0.25">
      <c r="A40" s="104"/>
      <c r="B40" s="104"/>
      <c r="C40" s="104"/>
      <c r="D40" s="188" t="str">
        <f>+VLOOKUP(L17,W17:Y18,3,FALSE)</f>
        <v>Beton_(hors armature) pour dalle C25 30 XC1 XC2 CEMII A_07_2019</v>
      </c>
      <c r="E40" s="188"/>
      <c r="F40" s="178"/>
      <c r="G40" s="104"/>
      <c r="H40" s="104"/>
      <c r="I40" s="104"/>
      <c r="J40" s="151"/>
      <c r="K40" s="104"/>
      <c r="L40" s="104"/>
      <c r="M40" s="104"/>
      <c r="N40" s="151"/>
      <c r="O40" s="104"/>
      <c r="P40" s="104"/>
      <c r="Q40" s="104"/>
      <c r="R40" s="104"/>
      <c r="S40" s="104"/>
      <c r="T40" s="104"/>
      <c r="U40" s="104"/>
      <c r="V40" s="104"/>
      <c r="W40" s="104" t="s">
        <v>245</v>
      </c>
      <c r="X40" s="104">
        <v>9.66</v>
      </c>
      <c r="Y40" s="183">
        <v>2.99</v>
      </c>
      <c r="Z40" s="104" t="s">
        <v>232</v>
      </c>
      <c r="AA40" s="104" t="s">
        <v>72</v>
      </c>
      <c r="AB40" s="104" t="s">
        <v>72</v>
      </c>
      <c r="AC40" s="104" t="s">
        <v>72</v>
      </c>
      <c r="AD40" s="104" t="s">
        <v>75</v>
      </c>
      <c r="AE40" s="104" t="s">
        <v>75</v>
      </c>
      <c r="AF40" s="104" t="s">
        <v>75</v>
      </c>
      <c r="AG40" s="159" t="s">
        <v>246</v>
      </c>
      <c r="AH40" s="104"/>
      <c r="AI40" s="104"/>
      <c r="AJ40" s="104"/>
      <c r="AK40" s="104"/>
      <c r="AL40" s="104"/>
      <c r="AM40" s="183"/>
      <c r="AN40" s="104"/>
      <c r="AO40" s="104" t="s">
        <v>72</v>
      </c>
      <c r="AP40" s="104" t="s">
        <v>72</v>
      </c>
      <c r="AQ40" s="104" t="s">
        <v>72</v>
      </c>
      <c r="AR40" s="104" t="s">
        <v>75</v>
      </c>
      <c r="AS40" s="104" t="s">
        <v>75</v>
      </c>
      <c r="AT40" s="104" t="s">
        <v>75</v>
      </c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</row>
    <row r="41" spans="1:261" ht="15" x14ac:dyDescent="0.25">
      <c r="A41" s="104"/>
      <c r="B41" s="104"/>
      <c r="C41" s="104"/>
      <c r="D41" s="189"/>
      <c r="E41" s="189"/>
      <c r="F41" s="178"/>
      <c r="G41" s="104"/>
      <c r="H41" s="104"/>
      <c r="I41" s="104"/>
      <c r="J41" s="151"/>
      <c r="K41" s="104"/>
      <c r="L41" s="104"/>
      <c r="M41" s="104"/>
      <c r="N41" s="151"/>
      <c r="O41" s="104"/>
      <c r="P41" s="104"/>
      <c r="Q41" s="104"/>
      <c r="R41" s="104"/>
      <c r="S41" s="104"/>
      <c r="T41" s="104"/>
      <c r="U41" s="104"/>
      <c r="V41" s="104"/>
      <c r="W41" s="104" t="s">
        <v>247</v>
      </c>
      <c r="X41" s="104">
        <v>9.66</v>
      </c>
      <c r="Y41" s="183">
        <v>0.91</v>
      </c>
      <c r="Z41" s="104" t="s">
        <v>232</v>
      </c>
      <c r="AA41" s="104">
        <v>120</v>
      </c>
      <c r="AB41" s="104" t="s">
        <v>248</v>
      </c>
      <c r="AC41" s="170">
        <v>930</v>
      </c>
      <c r="AD41" s="104">
        <v>120</v>
      </c>
      <c r="AE41" s="170">
        <v>137</v>
      </c>
      <c r="AF41" s="170">
        <v>930</v>
      </c>
      <c r="AG41" s="104"/>
      <c r="AH41" s="104"/>
      <c r="AI41" s="104"/>
      <c r="AJ41" s="104"/>
      <c r="AK41" s="104"/>
      <c r="AL41" s="104"/>
      <c r="AM41" s="183"/>
      <c r="AN41" s="104"/>
      <c r="AO41" s="104">
        <v>120</v>
      </c>
      <c r="AP41" s="104" t="s">
        <v>248</v>
      </c>
      <c r="AQ41" s="170">
        <v>930</v>
      </c>
      <c r="AR41" s="104">
        <v>120</v>
      </c>
      <c r="AS41" s="170">
        <v>137</v>
      </c>
      <c r="AT41" s="170">
        <v>930</v>
      </c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</row>
    <row r="42" spans="1:261" ht="15" x14ac:dyDescent="0.25">
      <c r="A42" s="104"/>
      <c r="B42" s="104"/>
      <c r="C42" s="104"/>
      <c r="D42" s="104"/>
      <c r="E42" s="104"/>
      <c r="F42" s="104"/>
      <c r="G42" s="104"/>
      <c r="H42" s="104"/>
      <c r="I42" s="104"/>
      <c r="J42" s="151"/>
      <c r="K42" s="104"/>
      <c r="L42" s="104"/>
      <c r="M42" s="104"/>
      <c r="N42" s="151"/>
      <c r="O42" s="104"/>
      <c r="P42" s="104"/>
      <c r="Q42" s="104"/>
      <c r="R42" s="104"/>
      <c r="S42" s="104"/>
      <c r="T42" s="104"/>
      <c r="U42" s="159" t="s">
        <v>185</v>
      </c>
      <c r="V42" s="104" t="s">
        <v>343</v>
      </c>
      <c r="W42" s="159" t="s">
        <v>185</v>
      </c>
      <c r="X42" s="104">
        <v>-4.8600000000000003</v>
      </c>
      <c r="Y42" s="157">
        <v>0</v>
      </c>
      <c r="Z42" s="104" t="s">
        <v>232</v>
      </c>
      <c r="AA42" s="104">
        <v>6.3E-2</v>
      </c>
      <c r="AB42" s="104">
        <v>6.1499999999999999E-2</v>
      </c>
      <c r="AC42" s="104">
        <v>6.1499999999999999E-2</v>
      </c>
      <c r="AD42" s="104">
        <v>180</v>
      </c>
      <c r="AE42" s="104">
        <v>179</v>
      </c>
      <c r="AF42" s="104">
        <v>179</v>
      </c>
      <c r="AG42" s="159" t="s">
        <v>249</v>
      </c>
      <c r="AH42" s="104"/>
      <c r="AI42" s="104">
        <v>12</v>
      </c>
      <c r="AJ42" s="159" t="s">
        <v>250</v>
      </c>
      <c r="AK42" s="159" t="s">
        <v>185</v>
      </c>
      <c r="AL42" s="104">
        <v>-4.1900000000000004</v>
      </c>
      <c r="AM42" s="157">
        <v>0</v>
      </c>
      <c r="AN42" s="104" t="s">
        <v>232</v>
      </c>
      <c r="AO42" s="104">
        <v>6.7000000000000004E-2</v>
      </c>
      <c r="AP42" s="104">
        <v>6.7000000000000004E-2</v>
      </c>
      <c r="AQ42" s="104">
        <v>6.5000000000000002E-2</v>
      </c>
      <c r="AR42" s="104">
        <v>208</v>
      </c>
      <c r="AS42" s="104">
        <v>221</v>
      </c>
      <c r="AT42" s="104">
        <v>207</v>
      </c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</row>
    <row r="43" spans="1:261" ht="15" x14ac:dyDescent="0.25">
      <c r="A43" s="104"/>
      <c r="B43" s="104"/>
      <c r="C43" s="104"/>
      <c r="D43" s="104"/>
      <c r="E43" s="104"/>
      <c r="F43" s="178"/>
      <c r="G43" s="104"/>
      <c r="H43" s="104"/>
      <c r="I43" s="104"/>
      <c r="J43" s="151"/>
      <c r="K43" s="104"/>
      <c r="L43" s="104"/>
      <c r="M43" s="104"/>
      <c r="N43" s="151"/>
      <c r="O43" s="104"/>
      <c r="P43" s="104"/>
      <c r="Q43" s="104"/>
      <c r="R43" s="104"/>
      <c r="S43" s="104"/>
      <c r="T43" s="104"/>
      <c r="U43" s="159" t="s">
        <v>188</v>
      </c>
      <c r="V43" s="104" t="s">
        <v>344</v>
      </c>
      <c r="W43" s="159" t="s">
        <v>188</v>
      </c>
      <c r="X43" s="104">
        <v>-4.8600000000000003</v>
      </c>
      <c r="Y43" s="157">
        <v>0</v>
      </c>
      <c r="Z43" s="104" t="s">
        <v>232</v>
      </c>
      <c r="AA43" s="104">
        <v>7.1400000000000005E-2</v>
      </c>
      <c r="AB43" s="104">
        <v>7.0999999999999994E-2</v>
      </c>
      <c r="AC43" s="104">
        <v>7.0000000000000007E-2</v>
      </c>
      <c r="AD43" s="104">
        <v>199</v>
      </c>
      <c r="AE43" s="104">
        <v>209</v>
      </c>
      <c r="AF43" s="104">
        <v>198</v>
      </c>
      <c r="AG43" s="159" t="s">
        <v>249</v>
      </c>
      <c r="AH43" s="104"/>
      <c r="AI43" s="104">
        <v>15</v>
      </c>
      <c r="AJ43" s="159" t="s">
        <v>250</v>
      </c>
      <c r="AK43" s="159" t="s">
        <v>188</v>
      </c>
      <c r="AL43" s="104">
        <v>-4.1900000000000004</v>
      </c>
      <c r="AM43" s="157">
        <v>0</v>
      </c>
      <c r="AN43" s="104" t="s">
        <v>232</v>
      </c>
      <c r="AO43" s="104">
        <v>7.8E-2</v>
      </c>
      <c r="AP43" s="104">
        <v>7.9000000000000001E-2</v>
      </c>
      <c r="AQ43" s="104">
        <v>7.6999999999999999E-2</v>
      </c>
      <c r="AR43" s="104">
        <v>234</v>
      </c>
      <c r="AS43" s="104">
        <v>251</v>
      </c>
      <c r="AT43" s="104">
        <v>233</v>
      </c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</row>
    <row r="44" spans="1:261" ht="15" x14ac:dyDescent="0.25">
      <c r="A44" s="104"/>
      <c r="B44" s="104"/>
      <c r="C44" s="104"/>
      <c r="D44" s="104"/>
      <c r="E44" s="104"/>
      <c r="F44" s="178"/>
      <c r="G44" s="104"/>
      <c r="H44" s="104"/>
      <c r="I44" s="104"/>
      <c r="J44" s="151"/>
      <c r="K44" s="104"/>
      <c r="L44" s="104"/>
      <c r="M44" s="104"/>
      <c r="N44" s="151"/>
      <c r="O44" s="104"/>
      <c r="P44" s="104"/>
      <c r="Q44" s="104"/>
      <c r="R44" s="104"/>
      <c r="S44" s="104"/>
      <c r="T44" s="104"/>
      <c r="U44" s="159" t="s">
        <v>196</v>
      </c>
      <c r="V44" s="104" t="s">
        <v>345</v>
      </c>
      <c r="W44" s="159" t="s">
        <v>196</v>
      </c>
      <c r="X44" s="104">
        <v>-4.8600000000000003</v>
      </c>
      <c r="Y44" s="157">
        <v>0</v>
      </c>
      <c r="Z44" s="104" t="s">
        <v>232</v>
      </c>
      <c r="AA44" s="104">
        <v>9.1700000000000004E-2</v>
      </c>
      <c r="AB44" s="104">
        <v>9.2600000000000002E-2</v>
      </c>
      <c r="AC44" s="104">
        <v>9.0200000000000002E-2</v>
      </c>
      <c r="AD44" s="104">
        <v>259</v>
      </c>
      <c r="AE44" s="104">
        <v>271</v>
      </c>
      <c r="AF44" s="104">
        <v>258</v>
      </c>
      <c r="AG44" s="159" t="s">
        <v>249</v>
      </c>
      <c r="AH44" s="104"/>
      <c r="AI44" s="104">
        <v>20</v>
      </c>
      <c r="AJ44" s="159" t="s">
        <v>250</v>
      </c>
      <c r="AK44" s="159" t="s">
        <v>196</v>
      </c>
      <c r="AL44" s="104">
        <v>-4.1900000000000004</v>
      </c>
      <c r="AM44" s="157">
        <v>0</v>
      </c>
      <c r="AN44" s="104" t="s">
        <v>232</v>
      </c>
      <c r="AO44" s="104">
        <v>0.1</v>
      </c>
      <c r="AP44" s="104">
        <v>0.11</v>
      </c>
      <c r="AQ44" s="104">
        <v>0.1</v>
      </c>
      <c r="AR44" s="104">
        <v>302</v>
      </c>
      <c r="AS44" s="104">
        <v>322</v>
      </c>
      <c r="AT44" s="104">
        <v>300</v>
      </c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</row>
    <row r="45" spans="1:261" ht="15" x14ac:dyDescent="0.25">
      <c r="A45" s="104"/>
      <c r="B45" s="104"/>
      <c r="C45" s="104"/>
      <c r="D45" s="104"/>
      <c r="E45" s="104"/>
      <c r="F45" s="178"/>
      <c r="G45" s="104"/>
      <c r="H45" s="104"/>
      <c r="I45" s="104"/>
      <c r="J45" s="151"/>
      <c r="K45" s="104"/>
      <c r="L45" s="104"/>
      <c r="M45" s="104"/>
      <c r="N45" s="151"/>
      <c r="O45" s="104"/>
      <c r="P45" s="104"/>
      <c r="Q45" s="104"/>
      <c r="R45" s="104"/>
      <c r="S45" s="104"/>
      <c r="T45" s="104"/>
      <c r="U45" s="159" t="s">
        <v>290</v>
      </c>
      <c r="V45" s="104" t="s">
        <v>346</v>
      </c>
      <c r="W45" s="159" t="s">
        <v>290</v>
      </c>
      <c r="X45" s="104">
        <v>1.46</v>
      </c>
      <c r="Y45" s="157">
        <v>0</v>
      </c>
      <c r="Z45" s="104" t="s">
        <v>232</v>
      </c>
      <c r="AA45" s="104">
        <v>7.1300000000000002E-2</v>
      </c>
      <c r="AB45" s="104">
        <v>7.1300000000000002E-2</v>
      </c>
      <c r="AC45" s="104">
        <v>7.0400000000000004E-2</v>
      </c>
      <c r="AD45" s="104">
        <v>196</v>
      </c>
      <c r="AE45" s="104">
        <v>205</v>
      </c>
      <c r="AF45" s="104">
        <v>195</v>
      </c>
      <c r="AG45" s="159" t="s">
        <v>251</v>
      </c>
      <c r="AH45" s="104"/>
      <c r="AI45" s="104">
        <v>12</v>
      </c>
      <c r="AJ45" s="159" t="s">
        <v>21</v>
      </c>
      <c r="AK45" s="159" t="s">
        <v>290</v>
      </c>
      <c r="AL45" s="104">
        <v>1.27</v>
      </c>
      <c r="AM45" s="157">
        <v>0</v>
      </c>
      <c r="AN45" s="104" t="s">
        <v>232</v>
      </c>
      <c r="AO45" s="104">
        <v>7.3999999999999996E-2</v>
      </c>
      <c r="AP45" s="104">
        <v>7.3999999999999996E-2</v>
      </c>
      <c r="AQ45" s="104">
        <v>7.1999999999999995E-2</v>
      </c>
      <c r="AR45" s="104">
        <v>222</v>
      </c>
      <c r="AS45" s="104">
        <v>236</v>
      </c>
      <c r="AT45" s="104">
        <v>221</v>
      </c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</row>
    <row r="46" spans="1:261" ht="15" x14ac:dyDescent="0.25">
      <c r="A46" s="104"/>
      <c r="B46" s="104"/>
      <c r="C46" s="104"/>
      <c r="D46" s="104"/>
      <c r="E46" s="104"/>
      <c r="F46" s="178"/>
      <c r="G46" s="104"/>
      <c r="H46" s="104"/>
      <c r="I46" s="104"/>
      <c r="J46" s="151"/>
      <c r="K46" s="104"/>
      <c r="L46" s="104"/>
      <c r="M46" s="104"/>
      <c r="N46" s="151"/>
      <c r="O46" s="104"/>
      <c r="P46" s="104"/>
      <c r="Q46" s="104"/>
      <c r="R46" s="104"/>
      <c r="S46" s="104"/>
      <c r="T46" s="104"/>
      <c r="U46" s="159" t="s">
        <v>291</v>
      </c>
      <c r="V46" s="104" t="s">
        <v>347</v>
      </c>
      <c r="W46" s="159" t="s">
        <v>291</v>
      </c>
      <c r="X46" s="104">
        <v>1.46</v>
      </c>
      <c r="Y46" s="157">
        <v>0</v>
      </c>
      <c r="Z46" s="104" t="s">
        <v>232</v>
      </c>
      <c r="AA46" s="104">
        <v>8.4000000000000005E-2</v>
      </c>
      <c r="AB46" s="104">
        <v>8.4699999999999998E-2</v>
      </c>
      <c r="AC46" s="104">
        <v>8.3299999999999999E-2</v>
      </c>
      <c r="AD46" s="104">
        <v>226</v>
      </c>
      <c r="AE46" s="104">
        <v>237</v>
      </c>
      <c r="AF46" s="104">
        <v>226</v>
      </c>
      <c r="AG46" s="159" t="s">
        <v>251</v>
      </c>
      <c r="AH46" s="104"/>
      <c r="AI46" s="104"/>
      <c r="AJ46" s="159" t="s">
        <v>21</v>
      </c>
      <c r="AK46" s="159" t="s">
        <v>291</v>
      </c>
      <c r="AL46" s="104">
        <v>1.27</v>
      </c>
      <c r="AM46" s="157">
        <v>0</v>
      </c>
      <c r="AN46" s="104" t="s">
        <v>232</v>
      </c>
      <c r="AO46" s="104">
        <v>8.8999999999999996E-2</v>
      </c>
      <c r="AP46" s="104">
        <v>0.09</v>
      </c>
      <c r="AQ46" s="104">
        <v>8.7599999999999997E-2</v>
      </c>
      <c r="AR46" s="104">
        <v>258</v>
      </c>
      <c r="AS46" s="104">
        <v>274</v>
      </c>
      <c r="AT46" s="104">
        <v>257</v>
      </c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</row>
    <row r="47" spans="1:261" x14ac:dyDescent="0.2">
      <c r="A47" s="104"/>
      <c r="B47" s="104"/>
      <c r="C47" s="104"/>
      <c r="D47" s="104"/>
      <c r="E47" s="104"/>
      <c r="F47" s="178"/>
      <c r="G47" s="104"/>
      <c r="H47" s="104"/>
      <c r="I47" s="104"/>
      <c r="J47" s="151"/>
      <c r="K47" s="104"/>
      <c r="L47" s="104"/>
      <c r="M47" s="104"/>
      <c r="N47" s="151"/>
      <c r="O47" s="104"/>
      <c r="P47" s="104"/>
      <c r="Q47" s="104"/>
      <c r="R47" s="104"/>
      <c r="S47" s="104"/>
      <c r="T47" s="104"/>
      <c r="U47" s="194" t="s">
        <v>325</v>
      </c>
      <c r="V47" s="194" t="s">
        <v>325</v>
      </c>
      <c r="W47" s="194" t="s">
        <v>325</v>
      </c>
      <c r="X47" s="195">
        <v>17.29</v>
      </c>
      <c r="Y47" s="183">
        <v>8.75</v>
      </c>
      <c r="Z47" s="104" t="s">
        <v>232</v>
      </c>
      <c r="AA47" s="104">
        <v>6.2199999999999998E-2</v>
      </c>
      <c r="AB47" s="104">
        <v>6.0999999999999999E-2</v>
      </c>
      <c r="AC47" s="104">
        <v>6.0999999999999999E-2</v>
      </c>
      <c r="AD47" s="104">
        <v>172</v>
      </c>
      <c r="AE47" s="104">
        <v>180</v>
      </c>
      <c r="AF47" s="104">
        <v>171</v>
      </c>
      <c r="AG47" s="104" t="s">
        <v>252</v>
      </c>
      <c r="AH47" s="104"/>
      <c r="AI47" s="104">
        <v>12</v>
      </c>
      <c r="AJ47" s="194" t="s">
        <v>253</v>
      </c>
      <c r="AK47" s="194" t="s">
        <v>325</v>
      </c>
      <c r="AL47" s="195">
        <v>14.77</v>
      </c>
      <c r="AM47" s="183">
        <v>8.75</v>
      </c>
      <c r="AN47" s="104" t="s">
        <v>232</v>
      </c>
      <c r="AO47" s="104">
        <v>6.6000000000000003E-2</v>
      </c>
      <c r="AP47" s="104">
        <v>6.6000000000000003E-2</v>
      </c>
      <c r="AQ47" s="104">
        <v>6.5000000000000002E-2</v>
      </c>
      <c r="AR47" s="104">
        <v>201</v>
      </c>
      <c r="AS47" s="104">
        <v>215</v>
      </c>
      <c r="AT47" s="104">
        <v>200</v>
      </c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</row>
    <row r="48" spans="1:261" x14ac:dyDescent="0.2">
      <c r="A48" s="104"/>
      <c r="B48" s="104"/>
      <c r="C48" s="104"/>
      <c r="D48" s="104"/>
      <c r="E48" s="104"/>
      <c r="F48" s="178"/>
      <c r="G48" s="104"/>
      <c r="H48" s="104"/>
      <c r="I48" s="104"/>
      <c r="J48" s="151"/>
      <c r="K48" s="104"/>
      <c r="L48" s="104"/>
      <c r="M48" s="104"/>
      <c r="N48" s="151"/>
      <c r="O48" s="104"/>
      <c r="P48" s="104"/>
      <c r="Q48" s="104"/>
      <c r="R48" s="104"/>
      <c r="S48" s="104"/>
      <c r="T48" s="104"/>
      <c r="U48" s="194" t="s">
        <v>326</v>
      </c>
      <c r="V48" s="194" t="s">
        <v>326</v>
      </c>
      <c r="W48" s="194" t="s">
        <v>326</v>
      </c>
      <c r="X48" s="195">
        <v>17.29</v>
      </c>
      <c r="Y48" s="183">
        <v>8.75</v>
      </c>
      <c r="Z48" s="104" t="s">
        <v>232</v>
      </c>
      <c r="AA48" s="104">
        <v>7.5200000000000003E-2</v>
      </c>
      <c r="AB48" s="104">
        <v>7.4499999999999997E-2</v>
      </c>
      <c r="AC48" s="104">
        <v>7.3999999999999996E-2</v>
      </c>
      <c r="AD48" s="104">
        <v>202</v>
      </c>
      <c r="AE48" s="104">
        <v>201</v>
      </c>
      <c r="AF48" s="104">
        <v>201</v>
      </c>
      <c r="AG48" s="104" t="s">
        <v>252</v>
      </c>
      <c r="AH48" s="104"/>
      <c r="AI48" s="104">
        <v>15</v>
      </c>
      <c r="AJ48" s="194" t="s">
        <v>254</v>
      </c>
      <c r="AK48" s="194" t="s">
        <v>326</v>
      </c>
      <c r="AL48" s="195">
        <v>14.77</v>
      </c>
      <c r="AM48" s="183">
        <v>8.75</v>
      </c>
      <c r="AN48" s="104" t="s">
        <v>232</v>
      </c>
      <c r="AO48" s="104">
        <v>8.1000000000000003E-2</v>
      </c>
      <c r="AP48" s="104">
        <v>8.2600000000000007E-2</v>
      </c>
      <c r="AQ48" s="104">
        <v>0.08</v>
      </c>
      <c r="AR48" s="104">
        <v>237</v>
      </c>
      <c r="AS48" s="104">
        <v>253</v>
      </c>
      <c r="AT48" s="104">
        <v>235</v>
      </c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</row>
    <row r="49" spans="1:261" x14ac:dyDescent="0.2">
      <c r="A49" s="104"/>
      <c r="B49" s="104"/>
      <c r="C49" s="104"/>
      <c r="D49" s="104"/>
      <c r="E49" s="104"/>
      <c r="F49" s="178"/>
      <c r="G49" s="104"/>
      <c r="H49" s="104"/>
      <c r="I49" s="104"/>
      <c r="J49" s="151"/>
      <c r="K49" s="104"/>
      <c r="L49" s="104"/>
      <c r="M49" s="104"/>
      <c r="N49" s="151"/>
      <c r="O49" s="104"/>
      <c r="P49" s="104"/>
      <c r="Q49" s="104"/>
      <c r="R49" s="104"/>
      <c r="S49" s="104"/>
      <c r="T49" s="104"/>
      <c r="U49" s="194" t="s">
        <v>327</v>
      </c>
      <c r="V49" s="194" t="s">
        <v>327</v>
      </c>
      <c r="W49" s="194" t="s">
        <v>327</v>
      </c>
      <c r="X49" s="195">
        <f>+X48+1.2</f>
        <v>18.489999999999998</v>
      </c>
      <c r="Y49" s="183">
        <v>8.75</v>
      </c>
      <c r="Z49" s="104" t="s">
        <v>232</v>
      </c>
      <c r="AA49" s="104">
        <v>9.7000000000000003E-2</v>
      </c>
      <c r="AB49" s="104">
        <v>9.7500000000000003E-2</v>
      </c>
      <c r="AC49" s="104">
        <v>9.5200000000000007E-2</v>
      </c>
      <c r="AD49" s="104">
        <v>258</v>
      </c>
      <c r="AE49" s="104">
        <v>271</v>
      </c>
      <c r="AF49" s="104">
        <v>257</v>
      </c>
      <c r="AG49" s="104" t="s">
        <v>252</v>
      </c>
      <c r="AH49" s="104"/>
      <c r="AI49" s="104"/>
      <c r="AJ49" s="194" t="s">
        <v>254</v>
      </c>
      <c r="AK49" s="194" t="s">
        <v>327</v>
      </c>
      <c r="AL49" s="195">
        <v>15.81</v>
      </c>
      <c r="AM49" s="183">
        <v>8.75</v>
      </c>
      <c r="AN49" s="104" t="s">
        <v>232</v>
      </c>
      <c r="AO49" s="104">
        <v>9.7000000000000003E-2</v>
      </c>
      <c r="AP49" s="104">
        <v>9.7500000000000003E-2</v>
      </c>
      <c r="AQ49" s="104">
        <v>9.5200000000000007E-2</v>
      </c>
      <c r="AR49" s="104">
        <v>258</v>
      </c>
      <c r="AS49" s="104">
        <v>271</v>
      </c>
      <c r="AT49" s="104">
        <v>257</v>
      </c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</row>
    <row r="50" spans="1:261" x14ac:dyDescent="0.2">
      <c r="A50" s="104"/>
      <c r="B50" s="104"/>
      <c r="C50" s="104"/>
      <c r="D50" s="104"/>
      <c r="E50" s="104"/>
      <c r="F50" s="178"/>
      <c r="G50" s="104"/>
      <c r="H50" s="104"/>
      <c r="I50" s="104"/>
      <c r="J50" s="151"/>
      <c r="K50" s="104"/>
      <c r="L50" s="104"/>
      <c r="M50" s="104"/>
      <c r="N50" s="151"/>
      <c r="O50" s="104"/>
      <c r="P50" s="104"/>
      <c r="Q50" s="104"/>
      <c r="R50" s="104"/>
      <c r="S50" s="104"/>
      <c r="T50" s="104"/>
      <c r="U50" s="194" t="s">
        <v>328</v>
      </c>
      <c r="V50" s="194" t="s">
        <v>328</v>
      </c>
      <c r="W50" s="194" t="s">
        <v>328</v>
      </c>
      <c r="X50" s="195">
        <v>17.29</v>
      </c>
      <c r="Y50" s="183">
        <v>6.33</v>
      </c>
      <c r="Z50" s="104" t="s">
        <v>232</v>
      </c>
      <c r="AA50" s="104">
        <v>6.2199999999999998E-2</v>
      </c>
      <c r="AB50" s="104">
        <v>6.0999999999999999E-2</v>
      </c>
      <c r="AC50" s="104">
        <v>6.0999999999999999E-2</v>
      </c>
      <c r="AD50" s="104">
        <v>172</v>
      </c>
      <c r="AE50" s="104">
        <v>180</v>
      </c>
      <c r="AF50" s="104">
        <v>171</v>
      </c>
      <c r="AG50" s="104" t="s">
        <v>252</v>
      </c>
      <c r="AH50" s="104"/>
      <c r="AI50" s="104">
        <v>12</v>
      </c>
      <c r="AJ50" s="194" t="s">
        <v>255</v>
      </c>
      <c r="AK50" s="194" t="s">
        <v>328</v>
      </c>
      <c r="AL50" s="195">
        <v>14.77</v>
      </c>
      <c r="AM50" s="183">
        <v>6.33</v>
      </c>
      <c r="AN50" s="104" t="s">
        <v>232</v>
      </c>
      <c r="AO50" s="104">
        <v>6.6000000000000003E-2</v>
      </c>
      <c r="AP50" s="104">
        <v>6.6000000000000003E-2</v>
      </c>
      <c r="AQ50" s="104">
        <v>6.5000000000000002E-2</v>
      </c>
      <c r="AR50" s="104">
        <v>201</v>
      </c>
      <c r="AS50" s="104">
        <v>215</v>
      </c>
      <c r="AT50" s="104">
        <v>200</v>
      </c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</row>
    <row r="51" spans="1:261" x14ac:dyDescent="0.2">
      <c r="A51" s="104"/>
      <c r="B51" s="104"/>
      <c r="C51" s="104"/>
      <c r="D51" s="104"/>
      <c r="E51" s="104"/>
      <c r="F51" s="178"/>
      <c r="G51" s="104"/>
      <c r="H51" s="104"/>
      <c r="I51" s="104"/>
      <c r="J51" s="151"/>
      <c r="K51" s="104"/>
      <c r="L51" s="104"/>
      <c r="M51" s="104"/>
      <c r="N51" s="151"/>
      <c r="O51" s="104"/>
      <c r="P51" s="104"/>
      <c r="Q51" s="104"/>
      <c r="R51" s="104"/>
      <c r="S51" s="104"/>
      <c r="T51" s="104"/>
      <c r="U51" s="194" t="s">
        <v>329</v>
      </c>
      <c r="V51" s="194" t="s">
        <v>329</v>
      </c>
      <c r="W51" s="194" t="s">
        <v>329</v>
      </c>
      <c r="X51" s="195">
        <v>17.29</v>
      </c>
      <c r="Y51" s="183">
        <v>6.33</v>
      </c>
      <c r="Z51" s="104" t="s">
        <v>232</v>
      </c>
      <c r="AA51" s="104">
        <v>7.5200000000000003E-2</v>
      </c>
      <c r="AB51" s="104">
        <v>7.4499999999999997E-2</v>
      </c>
      <c r="AC51" s="104">
        <v>7.3999999999999996E-2</v>
      </c>
      <c r="AD51" s="104">
        <v>202</v>
      </c>
      <c r="AE51" s="104">
        <v>201</v>
      </c>
      <c r="AF51" s="104">
        <v>201</v>
      </c>
      <c r="AG51" s="104" t="s">
        <v>252</v>
      </c>
      <c r="AH51" s="104"/>
      <c r="AI51" s="104">
        <v>15</v>
      </c>
      <c r="AJ51" s="194" t="s">
        <v>256</v>
      </c>
      <c r="AK51" s="194" t="s">
        <v>329</v>
      </c>
      <c r="AL51" s="195">
        <v>14.77</v>
      </c>
      <c r="AM51" s="183">
        <v>6.33</v>
      </c>
      <c r="AN51" s="104" t="s">
        <v>232</v>
      </c>
      <c r="AO51" s="104">
        <v>8.1000000000000003E-2</v>
      </c>
      <c r="AP51" s="104">
        <v>8.2600000000000007E-2</v>
      </c>
      <c r="AQ51" s="104">
        <v>0.08</v>
      </c>
      <c r="AR51" s="104">
        <v>237</v>
      </c>
      <c r="AS51" s="104">
        <v>253</v>
      </c>
      <c r="AT51" s="104">
        <v>235</v>
      </c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</row>
    <row r="52" spans="1:261" x14ac:dyDescent="0.2">
      <c r="A52" s="104"/>
      <c r="B52" s="104"/>
      <c r="C52" s="104"/>
      <c r="D52" s="104"/>
      <c r="E52" s="104"/>
      <c r="F52" s="178"/>
      <c r="G52" s="104"/>
      <c r="H52" s="104"/>
      <c r="I52" s="104"/>
      <c r="J52" s="151"/>
      <c r="K52" s="104"/>
      <c r="L52" s="104"/>
      <c r="M52" s="104"/>
      <c r="N52" s="151"/>
      <c r="O52" s="104"/>
      <c r="P52" s="104"/>
      <c r="Q52" s="104"/>
      <c r="R52" s="104"/>
      <c r="S52" s="104"/>
      <c r="T52" s="104"/>
      <c r="U52" s="194" t="s">
        <v>330</v>
      </c>
      <c r="V52" s="194" t="s">
        <v>330</v>
      </c>
      <c r="W52" s="194" t="s">
        <v>330</v>
      </c>
      <c r="X52" s="195">
        <f>+X51+1.2</f>
        <v>18.489999999999998</v>
      </c>
      <c r="Y52" s="183">
        <v>6.33</v>
      </c>
      <c r="Z52" s="104" t="s">
        <v>232</v>
      </c>
      <c r="AA52" s="104">
        <v>9.7000000000000003E-2</v>
      </c>
      <c r="AB52" s="104">
        <v>9.7500000000000003E-2</v>
      </c>
      <c r="AC52" s="104">
        <v>9.5200000000000007E-2</v>
      </c>
      <c r="AD52" s="104">
        <v>258</v>
      </c>
      <c r="AE52" s="104">
        <v>271</v>
      </c>
      <c r="AF52" s="104">
        <v>257</v>
      </c>
      <c r="AG52" s="104" t="s">
        <v>252</v>
      </c>
      <c r="AH52" s="104"/>
      <c r="AI52" s="104">
        <v>20</v>
      </c>
      <c r="AJ52" s="194" t="s">
        <v>257</v>
      </c>
      <c r="AK52" s="194" t="s">
        <v>330</v>
      </c>
      <c r="AL52" s="195">
        <v>15.81</v>
      </c>
      <c r="AM52" s="183">
        <v>6.33</v>
      </c>
      <c r="AN52" s="104" t="s">
        <v>232</v>
      </c>
      <c r="AO52" s="104">
        <v>9.7000000000000003E-2</v>
      </c>
      <c r="AP52" s="104">
        <v>9.7500000000000003E-2</v>
      </c>
      <c r="AQ52" s="104">
        <v>9.5200000000000007E-2</v>
      </c>
      <c r="AR52" s="104">
        <v>258</v>
      </c>
      <c r="AS52" s="104">
        <v>271</v>
      </c>
      <c r="AT52" s="104">
        <v>257</v>
      </c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</row>
    <row r="53" spans="1:261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51"/>
      <c r="K53" s="104"/>
      <c r="L53" s="104"/>
      <c r="M53" s="104"/>
      <c r="N53" s="151"/>
      <c r="O53" s="104"/>
      <c r="P53" s="104"/>
      <c r="Q53" s="104"/>
      <c r="R53" s="104"/>
      <c r="S53" s="104"/>
      <c r="T53" s="104"/>
      <c r="U53" s="194" t="s">
        <v>331</v>
      </c>
      <c r="V53" s="194" t="s">
        <v>331</v>
      </c>
      <c r="W53" s="194" t="s">
        <v>331</v>
      </c>
      <c r="X53" s="195">
        <v>12.5</v>
      </c>
      <c r="Y53" s="183">
        <v>4.92</v>
      </c>
      <c r="Z53" s="104" t="s">
        <v>232</v>
      </c>
      <c r="AA53" s="104">
        <v>6.2199999999999998E-2</v>
      </c>
      <c r="AB53" s="104">
        <v>6.0999999999999999E-2</v>
      </c>
      <c r="AC53" s="104">
        <v>6.0999999999999999E-2</v>
      </c>
      <c r="AD53" s="104">
        <v>172</v>
      </c>
      <c r="AE53" s="104">
        <v>180</v>
      </c>
      <c r="AF53" s="104">
        <v>171</v>
      </c>
      <c r="AG53" s="104" t="s">
        <v>258</v>
      </c>
      <c r="AH53" s="104"/>
      <c r="AI53" s="104">
        <v>12</v>
      </c>
      <c r="AJ53" s="194" t="s">
        <v>259</v>
      </c>
      <c r="AK53" s="194" t="s">
        <v>331</v>
      </c>
      <c r="AL53" s="195">
        <v>10.87</v>
      </c>
      <c r="AM53" s="183">
        <v>4.92</v>
      </c>
      <c r="AN53" s="104" t="s">
        <v>232</v>
      </c>
      <c r="AO53" s="104">
        <v>6.6000000000000003E-2</v>
      </c>
      <c r="AP53" s="104">
        <v>6.6000000000000003E-2</v>
      </c>
      <c r="AQ53" s="104">
        <v>6.5000000000000002E-2</v>
      </c>
      <c r="AR53" s="104">
        <v>201</v>
      </c>
      <c r="AS53" s="104">
        <v>215</v>
      </c>
      <c r="AT53" s="104">
        <v>200</v>
      </c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</row>
    <row r="54" spans="1:261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51"/>
      <c r="K54" s="104"/>
      <c r="L54" s="104"/>
      <c r="M54" s="104"/>
      <c r="N54" s="151"/>
      <c r="O54" s="104"/>
      <c r="P54" s="104"/>
      <c r="Q54" s="104"/>
      <c r="R54" s="104"/>
      <c r="S54" s="104"/>
      <c r="T54" s="104"/>
      <c r="U54" s="194" t="s">
        <v>332</v>
      </c>
      <c r="V54" s="194" t="s">
        <v>332</v>
      </c>
      <c r="W54" s="194" t="s">
        <v>332</v>
      </c>
      <c r="X54" s="195">
        <v>12.5</v>
      </c>
      <c r="Y54" s="183">
        <v>4.92</v>
      </c>
      <c r="Z54" s="104" t="s">
        <v>232</v>
      </c>
      <c r="AA54" s="104">
        <v>7.5200000000000003E-2</v>
      </c>
      <c r="AB54" s="104">
        <v>7.4499999999999997E-2</v>
      </c>
      <c r="AC54" s="104">
        <v>7.3999999999999996E-2</v>
      </c>
      <c r="AD54" s="104">
        <v>202</v>
      </c>
      <c r="AE54" s="104">
        <v>201</v>
      </c>
      <c r="AF54" s="104">
        <v>201</v>
      </c>
      <c r="AG54" s="104" t="s">
        <v>258</v>
      </c>
      <c r="AH54" s="104"/>
      <c r="AI54" s="104">
        <v>15</v>
      </c>
      <c r="AJ54" s="194" t="s">
        <v>259</v>
      </c>
      <c r="AK54" s="194" t="s">
        <v>332</v>
      </c>
      <c r="AL54" s="195">
        <v>10.87</v>
      </c>
      <c r="AM54" s="183">
        <v>4.92</v>
      </c>
      <c r="AN54" s="104" t="s">
        <v>232</v>
      </c>
      <c r="AO54" s="104">
        <v>8.1000000000000003E-2</v>
      </c>
      <c r="AP54" s="104">
        <v>8.2600000000000007E-2</v>
      </c>
      <c r="AQ54" s="104">
        <v>0.08</v>
      </c>
      <c r="AR54" s="104">
        <v>237</v>
      </c>
      <c r="AS54" s="104">
        <v>253</v>
      </c>
      <c r="AT54" s="104">
        <v>235</v>
      </c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</row>
    <row r="55" spans="1:261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51"/>
      <c r="K55" s="104"/>
      <c r="L55" s="104"/>
      <c r="M55" s="104"/>
      <c r="N55" s="151"/>
      <c r="O55" s="104"/>
      <c r="P55" s="104"/>
      <c r="Q55" s="104"/>
      <c r="R55" s="104"/>
      <c r="S55" s="104"/>
      <c r="T55" s="104"/>
      <c r="U55" s="194" t="s">
        <v>333</v>
      </c>
      <c r="V55" s="194" t="s">
        <v>333</v>
      </c>
      <c r="W55" s="194" t="s">
        <v>333</v>
      </c>
      <c r="X55" s="195">
        <f>1.2+12.5</f>
        <v>13.7</v>
      </c>
      <c r="Y55" s="183">
        <v>4.92</v>
      </c>
      <c r="Z55" s="104" t="s">
        <v>232</v>
      </c>
      <c r="AA55" s="104">
        <v>9.7000000000000003E-2</v>
      </c>
      <c r="AB55" s="104">
        <v>9.7500000000000003E-2</v>
      </c>
      <c r="AC55" s="104">
        <v>9.5200000000000007E-2</v>
      </c>
      <c r="AD55" s="104">
        <v>258</v>
      </c>
      <c r="AE55" s="104">
        <v>271</v>
      </c>
      <c r="AF55" s="104">
        <v>257</v>
      </c>
      <c r="AG55" s="104" t="s">
        <v>258</v>
      </c>
      <c r="AH55" s="104"/>
      <c r="AI55" s="104">
        <v>20</v>
      </c>
      <c r="AJ55" s="194" t="s">
        <v>260</v>
      </c>
      <c r="AK55" s="194" t="s">
        <v>333</v>
      </c>
      <c r="AL55" s="195">
        <v>11.91</v>
      </c>
      <c r="AM55" s="183">
        <v>4.92</v>
      </c>
      <c r="AN55" s="104" t="s">
        <v>232</v>
      </c>
      <c r="AO55" s="104">
        <v>9.7000000000000003E-2</v>
      </c>
      <c r="AP55" s="104">
        <v>9.7500000000000003E-2</v>
      </c>
      <c r="AQ55" s="104">
        <v>9.5200000000000007E-2</v>
      </c>
      <c r="AR55" s="104">
        <v>258</v>
      </c>
      <c r="AS55" s="104">
        <v>271</v>
      </c>
      <c r="AT55" s="104">
        <v>257</v>
      </c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</row>
    <row r="56" spans="1:261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51"/>
      <c r="K56" s="104"/>
      <c r="L56" s="104"/>
      <c r="M56" s="104"/>
      <c r="N56" s="151"/>
      <c r="O56" s="104"/>
      <c r="P56" s="104"/>
      <c r="Q56" s="104"/>
      <c r="R56" s="104"/>
      <c r="S56" s="104"/>
      <c r="T56" s="104"/>
      <c r="U56" s="194" t="s">
        <v>334</v>
      </c>
      <c r="V56" s="194" t="s">
        <v>334</v>
      </c>
      <c r="W56" s="194" t="s">
        <v>334</v>
      </c>
      <c r="X56" s="195">
        <v>9.4700000000000006</v>
      </c>
      <c r="Y56" s="183">
        <v>4.01</v>
      </c>
      <c r="Z56" s="104" t="s">
        <v>232</v>
      </c>
      <c r="AA56" s="104">
        <v>6.2199999999999998E-2</v>
      </c>
      <c r="AB56" s="104">
        <v>6.0999999999999999E-2</v>
      </c>
      <c r="AC56" s="104">
        <v>6.0999999999999999E-2</v>
      </c>
      <c r="AD56" s="104">
        <v>172</v>
      </c>
      <c r="AE56" s="104">
        <v>180</v>
      </c>
      <c r="AF56" s="104">
        <v>171</v>
      </c>
      <c r="AG56" s="104" t="s">
        <v>261</v>
      </c>
      <c r="AH56" s="104"/>
      <c r="AI56" s="104">
        <v>12</v>
      </c>
      <c r="AJ56" s="194" t="s">
        <v>262</v>
      </c>
      <c r="AK56" s="194" t="s">
        <v>334</v>
      </c>
      <c r="AL56" s="195">
        <v>8.23</v>
      </c>
      <c r="AM56" s="183">
        <v>4.01</v>
      </c>
      <c r="AN56" s="104" t="s">
        <v>232</v>
      </c>
      <c r="AO56" s="104">
        <v>6.6000000000000003E-2</v>
      </c>
      <c r="AP56" s="104">
        <v>6.6000000000000003E-2</v>
      </c>
      <c r="AQ56" s="104">
        <v>6.5000000000000002E-2</v>
      </c>
      <c r="AR56" s="104">
        <v>201</v>
      </c>
      <c r="AS56" s="104">
        <v>215</v>
      </c>
      <c r="AT56" s="104">
        <v>200</v>
      </c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</row>
    <row r="57" spans="1:261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51"/>
      <c r="K57" s="104"/>
      <c r="L57" s="104"/>
      <c r="M57" s="104"/>
      <c r="N57" s="151"/>
      <c r="O57" s="104"/>
      <c r="P57" s="104"/>
      <c r="Q57" s="104"/>
      <c r="R57" s="104"/>
      <c r="S57" s="104"/>
      <c r="T57" s="104"/>
      <c r="U57" s="194" t="s">
        <v>335</v>
      </c>
      <c r="V57" s="194" t="s">
        <v>335</v>
      </c>
      <c r="W57" s="194" t="s">
        <v>335</v>
      </c>
      <c r="X57" s="195">
        <v>9.4700000000000006</v>
      </c>
      <c r="Y57" s="183">
        <v>4.01</v>
      </c>
      <c r="Z57" s="104" t="s">
        <v>232</v>
      </c>
      <c r="AA57" s="104">
        <v>7.5200000000000003E-2</v>
      </c>
      <c r="AB57" s="104">
        <v>7.4499999999999997E-2</v>
      </c>
      <c r="AC57" s="104">
        <v>7.3999999999999996E-2</v>
      </c>
      <c r="AD57" s="104">
        <v>202</v>
      </c>
      <c r="AE57" s="104">
        <v>201</v>
      </c>
      <c r="AF57" s="104">
        <v>201</v>
      </c>
      <c r="AG57" s="104" t="s">
        <v>261</v>
      </c>
      <c r="AH57" s="104"/>
      <c r="AI57" s="104">
        <v>15</v>
      </c>
      <c r="AJ57" s="194" t="s">
        <v>263</v>
      </c>
      <c r="AK57" s="194" t="s">
        <v>335</v>
      </c>
      <c r="AL57" s="195">
        <v>8.23</v>
      </c>
      <c r="AM57" s="183">
        <v>4.01</v>
      </c>
      <c r="AN57" s="104" t="s">
        <v>232</v>
      </c>
      <c r="AO57" s="104">
        <v>8.1000000000000003E-2</v>
      </c>
      <c r="AP57" s="104">
        <v>8.2600000000000007E-2</v>
      </c>
      <c r="AQ57" s="104">
        <v>0.08</v>
      </c>
      <c r="AR57" s="104">
        <v>237</v>
      </c>
      <c r="AS57" s="104">
        <v>253</v>
      </c>
      <c r="AT57" s="104">
        <v>235</v>
      </c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</row>
    <row r="58" spans="1:261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51"/>
      <c r="K58" s="104"/>
      <c r="L58" s="104"/>
      <c r="M58" s="104"/>
      <c r="N58" s="151"/>
      <c r="O58" s="104"/>
      <c r="P58" s="104"/>
      <c r="Q58" s="104"/>
      <c r="R58" s="104"/>
      <c r="S58" s="104"/>
      <c r="T58" s="104"/>
      <c r="U58" s="194" t="s">
        <v>336</v>
      </c>
      <c r="V58" s="194" t="s">
        <v>336</v>
      </c>
      <c r="W58" s="194" t="s">
        <v>336</v>
      </c>
      <c r="X58" s="195">
        <f>1.2+9.47</f>
        <v>10.67</v>
      </c>
      <c r="Y58" s="183">
        <v>4.01</v>
      </c>
      <c r="Z58" s="104" t="s">
        <v>232</v>
      </c>
      <c r="AA58" s="104">
        <v>9.7000000000000003E-2</v>
      </c>
      <c r="AB58" s="104">
        <v>9.7500000000000003E-2</v>
      </c>
      <c r="AC58" s="104">
        <v>9.5200000000000007E-2</v>
      </c>
      <c r="AD58" s="104">
        <v>258</v>
      </c>
      <c r="AE58" s="104">
        <v>271</v>
      </c>
      <c r="AF58" s="104">
        <v>257</v>
      </c>
      <c r="AG58" s="104" t="s">
        <v>261</v>
      </c>
      <c r="AH58" s="104"/>
      <c r="AI58" s="104">
        <v>20</v>
      </c>
      <c r="AJ58" s="194" t="s">
        <v>262</v>
      </c>
      <c r="AK58" s="194" t="s">
        <v>336</v>
      </c>
      <c r="AL58" s="195">
        <v>9.2799999999999994</v>
      </c>
      <c r="AM58" s="183">
        <v>4.01</v>
      </c>
      <c r="AN58" s="104" t="s">
        <v>232</v>
      </c>
      <c r="AO58" s="104">
        <v>9.7000000000000003E-2</v>
      </c>
      <c r="AP58" s="104">
        <v>9.7500000000000003E-2</v>
      </c>
      <c r="AQ58" s="104">
        <v>9.5200000000000007E-2</v>
      </c>
      <c r="AR58" s="104">
        <v>258</v>
      </c>
      <c r="AS58" s="104">
        <v>271</v>
      </c>
      <c r="AT58" s="104">
        <v>257</v>
      </c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</row>
    <row r="59" spans="1:261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51"/>
      <c r="K59" s="104"/>
      <c r="L59" s="104"/>
      <c r="M59" s="104"/>
      <c r="N59" s="151"/>
      <c r="O59" s="104"/>
      <c r="P59" s="104"/>
      <c r="Q59" s="104"/>
      <c r="R59" s="104"/>
      <c r="S59" s="104"/>
      <c r="T59" s="104"/>
      <c r="U59" s="194" t="s">
        <v>337</v>
      </c>
      <c r="V59" s="194" t="s">
        <v>337</v>
      </c>
      <c r="W59" s="194" t="s">
        <v>337</v>
      </c>
      <c r="X59" s="195">
        <v>9.4700000000000006</v>
      </c>
      <c r="Y59" s="183">
        <v>3.36</v>
      </c>
      <c r="Z59" s="104" t="s">
        <v>232</v>
      </c>
      <c r="AA59" s="104">
        <v>6.2199999999999998E-2</v>
      </c>
      <c r="AB59" s="104">
        <v>6.0999999999999999E-2</v>
      </c>
      <c r="AC59" s="104">
        <v>6.0999999999999999E-2</v>
      </c>
      <c r="AD59" s="104">
        <v>172</v>
      </c>
      <c r="AE59" s="104">
        <v>180</v>
      </c>
      <c r="AF59" s="104">
        <v>171</v>
      </c>
      <c r="AG59" s="104" t="s">
        <v>264</v>
      </c>
      <c r="AH59" s="104"/>
      <c r="AI59" s="104">
        <v>12</v>
      </c>
      <c r="AJ59" s="194" t="s">
        <v>265</v>
      </c>
      <c r="AK59" s="194" t="s">
        <v>337</v>
      </c>
      <c r="AL59" s="195">
        <v>8.23</v>
      </c>
      <c r="AM59" s="183">
        <v>3.36</v>
      </c>
      <c r="AN59" s="104" t="s">
        <v>232</v>
      </c>
      <c r="AO59" s="104">
        <v>6.6000000000000003E-2</v>
      </c>
      <c r="AP59" s="104">
        <v>6.6000000000000003E-2</v>
      </c>
      <c r="AQ59" s="104">
        <v>6.5000000000000002E-2</v>
      </c>
      <c r="AR59" s="104">
        <v>201</v>
      </c>
      <c r="AS59" s="104">
        <v>215</v>
      </c>
      <c r="AT59" s="104">
        <v>200</v>
      </c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</row>
    <row r="60" spans="1:261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51"/>
      <c r="K60" s="104"/>
      <c r="L60" s="104"/>
      <c r="M60" s="104"/>
      <c r="N60" s="151"/>
      <c r="O60" s="104"/>
      <c r="P60" s="104"/>
      <c r="Q60" s="104"/>
      <c r="R60" s="104"/>
      <c r="S60" s="104"/>
      <c r="T60" s="104"/>
      <c r="U60" s="194" t="s">
        <v>338</v>
      </c>
      <c r="V60" s="194" t="s">
        <v>338</v>
      </c>
      <c r="W60" s="194" t="s">
        <v>338</v>
      </c>
      <c r="X60" s="195">
        <v>9.4700000000000006</v>
      </c>
      <c r="Y60" s="183">
        <v>3.36</v>
      </c>
      <c r="Z60" s="104" t="s">
        <v>232</v>
      </c>
      <c r="AA60" s="104">
        <v>7.5200000000000003E-2</v>
      </c>
      <c r="AB60" s="104">
        <v>7.4499999999999997E-2</v>
      </c>
      <c r="AC60" s="104">
        <v>7.3999999999999996E-2</v>
      </c>
      <c r="AD60" s="104">
        <v>202</v>
      </c>
      <c r="AE60" s="104">
        <v>201</v>
      </c>
      <c r="AF60" s="104">
        <v>201</v>
      </c>
      <c r="AG60" s="104" t="s">
        <v>264</v>
      </c>
      <c r="AH60" s="104"/>
      <c r="AI60" s="104">
        <v>15</v>
      </c>
      <c r="AJ60" s="194" t="s">
        <v>265</v>
      </c>
      <c r="AK60" s="194" t="s">
        <v>338</v>
      </c>
      <c r="AL60" s="195">
        <v>8.23</v>
      </c>
      <c r="AM60" s="183">
        <v>3.36</v>
      </c>
      <c r="AN60" s="104" t="s">
        <v>232</v>
      </c>
      <c r="AO60" s="104">
        <v>8.1000000000000003E-2</v>
      </c>
      <c r="AP60" s="104">
        <v>8.2600000000000007E-2</v>
      </c>
      <c r="AQ60" s="104">
        <v>0.08</v>
      </c>
      <c r="AR60" s="104">
        <v>237</v>
      </c>
      <c r="AS60" s="104">
        <v>253</v>
      </c>
      <c r="AT60" s="104">
        <v>235</v>
      </c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</row>
    <row r="61" spans="1:26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51"/>
      <c r="K61" s="104"/>
      <c r="L61" s="104"/>
      <c r="M61" s="104"/>
      <c r="N61" s="151"/>
      <c r="O61" s="104"/>
      <c r="P61" s="104"/>
      <c r="Q61" s="104"/>
      <c r="R61" s="104"/>
      <c r="S61" s="104"/>
      <c r="T61" s="104"/>
      <c r="U61" s="194" t="s">
        <v>339</v>
      </c>
      <c r="V61" s="194" t="s">
        <v>339</v>
      </c>
      <c r="W61" s="194" t="s">
        <v>339</v>
      </c>
      <c r="X61" s="195">
        <v>10.67</v>
      </c>
      <c r="Y61" s="183">
        <v>3.36</v>
      </c>
      <c r="Z61" s="104" t="s">
        <v>232</v>
      </c>
      <c r="AA61" s="104">
        <v>9.7000000000000003E-2</v>
      </c>
      <c r="AB61" s="104">
        <v>9.7500000000000003E-2</v>
      </c>
      <c r="AC61" s="104">
        <v>9.5200000000000007E-2</v>
      </c>
      <c r="AD61" s="104">
        <v>258</v>
      </c>
      <c r="AE61" s="104">
        <v>271</v>
      </c>
      <c r="AF61" s="104">
        <v>257</v>
      </c>
      <c r="AG61" s="104" t="s">
        <v>264</v>
      </c>
      <c r="AH61" s="104"/>
      <c r="AI61" s="104">
        <v>20</v>
      </c>
      <c r="AJ61" s="194" t="s">
        <v>265</v>
      </c>
      <c r="AK61" s="194" t="s">
        <v>339</v>
      </c>
      <c r="AL61" s="195">
        <v>9.2799999999999994</v>
      </c>
      <c r="AM61" s="183">
        <v>3.36</v>
      </c>
      <c r="AN61" s="104" t="s">
        <v>232</v>
      </c>
      <c r="AO61" s="104">
        <v>9.7000000000000003E-2</v>
      </c>
      <c r="AP61" s="104">
        <v>9.7500000000000003E-2</v>
      </c>
      <c r="AQ61" s="104">
        <v>9.5200000000000007E-2</v>
      </c>
      <c r="AR61" s="104">
        <v>258</v>
      </c>
      <c r="AS61" s="104">
        <v>271</v>
      </c>
      <c r="AT61" s="104">
        <v>257</v>
      </c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</row>
    <row r="62" spans="1:26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51"/>
      <c r="K62" s="104"/>
      <c r="L62" s="104"/>
      <c r="M62" s="104"/>
      <c r="N62" s="151"/>
      <c r="O62" s="104"/>
      <c r="P62" s="104"/>
      <c r="Q62" s="104"/>
      <c r="R62" s="104"/>
      <c r="S62" s="104"/>
      <c r="T62" s="104"/>
      <c r="U62" s="194" t="s">
        <v>340</v>
      </c>
      <c r="V62" s="194" t="s">
        <v>340</v>
      </c>
      <c r="W62" s="194" t="s">
        <v>340</v>
      </c>
      <c r="X62" s="195">
        <v>9.4700000000000006</v>
      </c>
      <c r="Y62" s="157">
        <v>2.96</v>
      </c>
      <c r="Z62" s="104" t="s">
        <v>232</v>
      </c>
      <c r="AA62" s="104">
        <v>6.2199999999999998E-2</v>
      </c>
      <c r="AB62" s="104">
        <v>6.0999999999999999E-2</v>
      </c>
      <c r="AC62" s="104">
        <v>6.0999999999999999E-2</v>
      </c>
      <c r="AD62" s="104">
        <v>172</v>
      </c>
      <c r="AE62" s="104">
        <v>180</v>
      </c>
      <c r="AF62" s="104">
        <v>171</v>
      </c>
      <c r="AG62" s="104" t="s">
        <v>264</v>
      </c>
      <c r="AH62" s="104"/>
      <c r="AI62" s="104">
        <v>12</v>
      </c>
      <c r="AJ62" s="194" t="s">
        <v>266</v>
      </c>
      <c r="AK62" s="194" t="s">
        <v>340</v>
      </c>
      <c r="AL62" s="195">
        <v>8.23</v>
      </c>
      <c r="AM62" s="157">
        <v>2.96</v>
      </c>
      <c r="AN62" s="104" t="s">
        <v>232</v>
      </c>
      <c r="AO62" s="104">
        <v>6.6000000000000003E-2</v>
      </c>
      <c r="AP62" s="104">
        <v>6.6000000000000003E-2</v>
      </c>
      <c r="AQ62" s="104">
        <v>6.5000000000000002E-2</v>
      </c>
      <c r="AR62" s="104">
        <v>201</v>
      </c>
      <c r="AS62" s="104">
        <v>215</v>
      </c>
      <c r="AT62" s="104">
        <v>200</v>
      </c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</row>
    <row r="63" spans="1:261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51"/>
      <c r="K63" s="104"/>
      <c r="L63" s="104"/>
      <c r="M63" s="104"/>
      <c r="N63" s="151"/>
      <c r="O63" s="104"/>
      <c r="P63" s="104"/>
      <c r="Q63" s="104"/>
      <c r="R63" s="104"/>
      <c r="S63" s="104"/>
      <c r="T63" s="104"/>
      <c r="U63" s="194" t="s">
        <v>341</v>
      </c>
      <c r="V63" s="194" t="s">
        <v>341</v>
      </c>
      <c r="W63" s="194" t="s">
        <v>341</v>
      </c>
      <c r="X63" s="195">
        <v>9.4700000000000006</v>
      </c>
      <c r="Y63" s="157">
        <v>2.96</v>
      </c>
      <c r="Z63" s="104" t="s">
        <v>232</v>
      </c>
      <c r="AA63" s="104">
        <v>7.5200000000000003E-2</v>
      </c>
      <c r="AB63" s="104">
        <v>7.4499999999999997E-2</v>
      </c>
      <c r="AC63" s="104">
        <v>7.3999999999999996E-2</v>
      </c>
      <c r="AD63" s="104">
        <v>202</v>
      </c>
      <c r="AE63" s="104">
        <v>201</v>
      </c>
      <c r="AF63" s="104">
        <v>201</v>
      </c>
      <c r="AG63" s="104" t="s">
        <v>264</v>
      </c>
      <c r="AH63" s="104"/>
      <c r="AI63" s="104">
        <v>15</v>
      </c>
      <c r="AJ63" s="194" t="s">
        <v>267</v>
      </c>
      <c r="AK63" s="194" t="s">
        <v>341</v>
      </c>
      <c r="AL63" s="195">
        <v>8.23</v>
      </c>
      <c r="AM63" s="157">
        <v>2.96</v>
      </c>
      <c r="AN63" s="104" t="s">
        <v>232</v>
      </c>
      <c r="AO63" s="104">
        <v>8.1000000000000003E-2</v>
      </c>
      <c r="AP63" s="104">
        <v>8.2600000000000007E-2</v>
      </c>
      <c r="AQ63" s="104">
        <v>0.08</v>
      </c>
      <c r="AR63" s="104">
        <v>237</v>
      </c>
      <c r="AS63" s="104">
        <v>253</v>
      </c>
      <c r="AT63" s="104">
        <v>235</v>
      </c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</row>
    <row r="64" spans="1:261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51"/>
      <c r="K64" s="104"/>
      <c r="L64" s="104"/>
      <c r="M64" s="104"/>
      <c r="N64" s="151"/>
      <c r="O64" s="104"/>
      <c r="P64" s="104"/>
      <c r="Q64" s="104"/>
      <c r="R64" s="104"/>
      <c r="S64" s="104"/>
      <c r="T64" s="104"/>
      <c r="U64" s="194" t="s">
        <v>342</v>
      </c>
      <c r="V64" s="194" t="s">
        <v>342</v>
      </c>
      <c r="W64" s="194" t="s">
        <v>342</v>
      </c>
      <c r="X64" s="195">
        <v>9.4700000000000006</v>
      </c>
      <c r="Y64" s="157">
        <v>2.96</v>
      </c>
      <c r="Z64" s="104" t="s">
        <v>232</v>
      </c>
      <c r="AA64" s="104">
        <v>6.2199999999999998E-2</v>
      </c>
      <c r="AB64" s="104">
        <v>6.0999999999999999E-2</v>
      </c>
      <c r="AC64" s="104">
        <v>6.0999999999999999E-2</v>
      </c>
      <c r="AD64" s="104">
        <v>172</v>
      </c>
      <c r="AE64" s="104">
        <v>180</v>
      </c>
      <c r="AF64" s="104">
        <v>171</v>
      </c>
      <c r="AG64" s="104" t="s">
        <v>264</v>
      </c>
      <c r="AH64" s="104"/>
      <c r="AI64" s="104">
        <v>12</v>
      </c>
      <c r="AJ64" s="194" t="s">
        <v>268</v>
      </c>
      <c r="AK64" s="194" t="s">
        <v>342</v>
      </c>
      <c r="AL64" s="195">
        <v>8.23</v>
      </c>
      <c r="AM64" s="157">
        <v>2.96</v>
      </c>
      <c r="AN64" s="104" t="s">
        <v>232</v>
      </c>
      <c r="AO64" s="104">
        <v>6.6000000000000003E-2</v>
      </c>
      <c r="AP64" s="104">
        <v>6.6000000000000003E-2</v>
      </c>
      <c r="AQ64" s="104">
        <v>6.5000000000000002E-2</v>
      </c>
      <c r="AR64" s="104">
        <v>201</v>
      </c>
      <c r="AS64" s="104">
        <v>215</v>
      </c>
      <c r="AT64" s="104">
        <v>200</v>
      </c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</row>
    <row r="65" spans="1:261" ht="15" x14ac:dyDescent="0.25">
      <c r="A65" s="104"/>
      <c r="B65" s="104"/>
      <c r="C65" s="104"/>
      <c r="D65" s="104"/>
      <c r="E65" s="104"/>
      <c r="F65" s="104"/>
      <c r="G65" s="104"/>
      <c r="H65" s="104"/>
      <c r="I65" s="104"/>
      <c r="J65" s="151"/>
      <c r="K65" s="104"/>
      <c r="L65" s="104"/>
      <c r="M65" s="104"/>
      <c r="N65" s="151"/>
      <c r="O65" s="104"/>
      <c r="P65" s="104"/>
      <c r="Q65" s="104"/>
      <c r="R65" s="104"/>
      <c r="S65" s="104"/>
      <c r="T65" s="104"/>
      <c r="U65" s="196" t="s">
        <v>292</v>
      </c>
      <c r="V65" s="104" t="s">
        <v>348</v>
      </c>
      <c r="W65" s="196" t="s">
        <v>292</v>
      </c>
      <c r="X65" s="197">
        <v>4.74</v>
      </c>
      <c r="Y65" s="157">
        <v>0.6</v>
      </c>
      <c r="Z65" s="104" t="s">
        <v>232</v>
      </c>
      <c r="AA65" s="104">
        <v>6.2E-2</v>
      </c>
      <c r="AB65" s="104">
        <v>6.2E-2</v>
      </c>
      <c r="AC65" s="104">
        <v>6.2E-2</v>
      </c>
      <c r="AD65" s="104">
        <v>178</v>
      </c>
      <c r="AE65" s="104">
        <v>186</v>
      </c>
      <c r="AF65" s="104">
        <v>177</v>
      </c>
      <c r="AG65" s="104" t="s">
        <v>354</v>
      </c>
      <c r="AH65" s="104"/>
      <c r="AI65" s="104"/>
      <c r="AJ65" s="104"/>
      <c r="AK65" s="196" t="s">
        <v>292</v>
      </c>
      <c r="AL65" s="198">
        <v>4.12</v>
      </c>
      <c r="AM65" s="104"/>
      <c r="AN65" s="104" t="s">
        <v>232</v>
      </c>
      <c r="AO65" s="104">
        <v>6.6000000000000003E-2</v>
      </c>
      <c r="AP65" s="104">
        <v>6.6000000000000003E-2</v>
      </c>
      <c r="AQ65" s="104">
        <v>6.5000000000000002E-2</v>
      </c>
      <c r="AR65" s="104">
        <v>207</v>
      </c>
      <c r="AS65" s="104">
        <v>220</v>
      </c>
      <c r="AT65" s="104">
        <v>206</v>
      </c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</row>
    <row r="66" spans="1:261" ht="15" x14ac:dyDescent="0.25">
      <c r="A66" s="104"/>
      <c r="B66" s="104"/>
      <c r="C66" s="104"/>
      <c r="D66" s="104"/>
      <c r="E66" s="104"/>
      <c r="F66" s="104"/>
      <c r="G66" s="104"/>
      <c r="H66" s="104"/>
      <c r="I66" s="104"/>
      <c r="J66" s="151"/>
      <c r="K66" s="104"/>
      <c r="L66" s="104"/>
      <c r="M66" s="104"/>
      <c r="N66" s="151"/>
      <c r="O66" s="104"/>
      <c r="P66" s="104"/>
      <c r="Q66" s="104"/>
      <c r="R66" s="104"/>
      <c r="S66" s="104"/>
      <c r="T66" s="104"/>
      <c r="U66" s="196" t="s">
        <v>293</v>
      </c>
      <c r="V66" s="104" t="s">
        <v>349</v>
      </c>
      <c r="W66" s="196" t="s">
        <v>293</v>
      </c>
      <c r="X66" s="197">
        <v>4.74</v>
      </c>
      <c r="Y66" s="199">
        <v>0.75</v>
      </c>
      <c r="Z66" s="104" t="s">
        <v>232</v>
      </c>
      <c r="AA66" s="104">
        <v>7.4999999999999997E-2</v>
      </c>
      <c r="AB66" s="104">
        <v>7.5999999999999998E-2</v>
      </c>
      <c r="AC66" s="104">
        <v>7.3999999999999996E-2</v>
      </c>
      <c r="AD66" s="104">
        <v>208</v>
      </c>
      <c r="AE66" s="104">
        <v>218</v>
      </c>
      <c r="AF66" s="104">
        <v>207</v>
      </c>
      <c r="AG66" s="104" t="s">
        <v>354</v>
      </c>
      <c r="AH66" s="104"/>
      <c r="AI66" s="104"/>
      <c r="AJ66" s="104"/>
      <c r="AK66" s="196" t="s">
        <v>293</v>
      </c>
      <c r="AL66" s="198">
        <v>4.12</v>
      </c>
      <c r="AM66" s="104"/>
      <c r="AN66" s="104" t="s">
        <v>232</v>
      </c>
      <c r="AO66" s="104">
        <v>0.08</v>
      </c>
      <c r="AP66" s="104">
        <v>8.3000000000000004E-2</v>
      </c>
      <c r="AQ66" s="104">
        <v>0.08</v>
      </c>
      <c r="AR66" s="104">
        <v>242</v>
      </c>
      <c r="AS66" s="104">
        <v>258</v>
      </c>
      <c r="AT66" s="104">
        <v>241</v>
      </c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</row>
    <row r="67" spans="1:261" ht="15" x14ac:dyDescent="0.25">
      <c r="A67" s="104"/>
      <c r="B67" s="104"/>
      <c r="C67" s="104"/>
      <c r="D67" s="104"/>
      <c r="E67" s="104"/>
      <c r="F67" s="104"/>
      <c r="G67" s="104"/>
      <c r="H67" s="104"/>
      <c r="I67" s="104"/>
      <c r="J67" s="151"/>
      <c r="K67" s="104"/>
      <c r="L67" s="104"/>
      <c r="M67" s="104"/>
      <c r="N67" s="151"/>
      <c r="O67" s="104"/>
      <c r="P67" s="104"/>
      <c r="Q67" s="104"/>
      <c r="R67" s="104"/>
      <c r="S67" s="104"/>
      <c r="T67" s="104"/>
      <c r="U67" s="196" t="s">
        <v>294</v>
      </c>
      <c r="V67" s="104" t="s">
        <v>350</v>
      </c>
      <c r="W67" s="196" t="s">
        <v>294</v>
      </c>
      <c r="X67" s="197">
        <v>4.74</v>
      </c>
      <c r="Y67" s="199">
        <v>0.75</v>
      </c>
      <c r="Z67" s="104" t="s">
        <v>232</v>
      </c>
      <c r="AA67" s="104">
        <v>9.4E-2</v>
      </c>
      <c r="AB67" s="104">
        <v>9.6000000000000002E-2</v>
      </c>
      <c r="AC67" s="104">
        <v>9.2999999999999999E-2</v>
      </c>
      <c r="AD67" s="104">
        <v>251</v>
      </c>
      <c r="AE67" s="104">
        <v>264</v>
      </c>
      <c r="AF67" s="104">
        <v>250</v>
      </c>
      <c r="AG67" s="104" t="s">
        <v>354</v>
      </c>
      <c r="AH67" s="104"/>
      <c r="AI67" s="104"/>
      <c r="AJ67" s="104"/>
      <c r="AK67" s="196" t="s">
        <v>294</v>
      </c>
      <c r="AL67" s="198">
        <v>4.12</v>
      </c>
      <c r="AM67" s="104"/>
      <c r="AN67" s="104" t="s">
        <v>232</v>
      </c>
      <c r="AO67" s="104">
        <v>0.105</v>
      </c>
      <c r="AP67" s="104">
        <v>0.108</v>
      </c>
      <c r="AQ67" s="104">
        <v>0.10299999999999999</v>
      </c>
      <c r="AR67" s="104">
        <v>295</v>
      </c>
      <c r="AS67" s="104">
        <v>316</v>
      </c>
      <c r="AT67" s="104">
        <v>294</v>
      </c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</row>
    <row r="68" spans="1:261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51"/>
      <c r="K68" s="104"/>
      <c r="L68" s="104"/>
      <c r="M68" s="104"/>
      <c r="N68" s="151"/>
      <c r="O68" s="104"/>
      <c r="P68" s="104"/>
      <c r="Q68" s="104"/>
      <c r="R68" s="104"/>
      <c r="S68" s="104"/>
      <c r="T68" s="104"/>
      <c r="U68" s="200" t="s">
        <v>358</v>
      </c>
      <c r="V68" s="104" t="s">
        <v>351</v>
      </c>
      <c r="W68" s="200" t="s">
        <v>358</v>
      </c>
      <c r="X68" s="197">
        <v>16.14</v>
      </c>
      <c r="Y68" s="104"/>
      <c r="Z68" s="104" t="s">
        <v>232</v>
      </c>
      <c r="AA68" s="104">
        <v>0.05</v>
      </c>
      <c r="AB68" s="104">
        <v>0.05</v>
      </c>
      <c r="AC68" s="104">
        <v>0.05</v>
      </c>
      <c r="AD68" s="104">
        <v>177</v>
      </c>
      <c r="AE68" s="104"/>
      <c r="AF68" s="104"/>
      <c r="AG68" s="104" t="s">
        <v>355</v>
      </c>
      <c r="AH68" s="104"/>
      <c r="AI68" s="104"/>
      <c r="AJ68" s="104"/>
      <c r="AK68" s="200" t="s">
        <v>295</v>
      </c>
      <c r="AL68" s="198">
        <f>1.5*16.23</f>
        <v>24.344999999999999</v>
      </c>
      <c r="AM68" s="104"/>
      <c r="AN68" s="104" t="s">
        <v>232</v>
      </c>
      <c r="AO68" s="104">
        <v>0.05</v>
      </c>
      <c r="AP68" s="104"/>
      <c r="AQ68" s="104"/>
      <c r="AR68" s="104">
        <f>1.5*177</f>
        <v>265.5</v>
      </c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</row>
    <row r="69" spans="1:261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51"/>
      <c r="K69" s="104"/>
      <c r="L69" s="104"/>
      <c r="M69" s="104"/>
      <c r="N69" s="151"/>
      <c r="O69" s="104"/>
      <c r="P69" s="104"/>
      <c r="Q69" s="104"/>
      <c r="R69" s="104"/>
      <c r="S69" s="104"/>
      <c r="T69" s="104"/>
      <c r="U69" s="200" t="s">
        <v>359</v>
      </c>
      <c r="V69" s="104" t="s">
        <v>352</v>
      </c>
      <c r="W69" s="200" t="s">
        <v>359</v>
      </c>
      <c r="X69" s="197">
        <v>16.14</v>
      </c>
      <c r="Y69" s="104"/>
      <c r="Z69" s="104" t="s">
        <v>232</v>
      </c>
      <c r="AA69" s="104">
        <v>0.05</v>
      </c>
      <c r="AB69" s="104">
        <v>0.05</v>
      </c>
      <c r="AC69" s="104">
        <v>0.05</v>
      </c>
      <c r="AD69" s="104">
        <v>195</v>
      </c>
      <c r="AE69" s="104"/>
      <c r="AF69" s="104"/>
      <c r="AG69" s="104" t="s">
        <v>355</v>
      </c>
      <c r="AH69" s="104"/>
      <c r="AI69" s="104"/>
      <c r="AJ69" s="104"/>
      <c r="AK69" s="200" t="s">
        <v>296</v>
      </c>
      <c r="AL69" s="198">
        <f t="shared" ref="AL69:AL70" si="2">1.5*16.23</f>
        <v>24.344999999999999</v>
      </c>
      <c r="AM69" s="104"/>
      <c r="AN69" s="104" t="s">
        <v>232</v>
      </c>
      <c r="AO69" s="104">
        <v>0.05</v>
      </c>
      <c r="AP69" s="104"/>
      <c r="AQ69" s="104"/>
      <c r="AR69" s="104">
        <f>1.5*195</f>
        <v>292.5</v>
      </c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</row>
    <row r="70" spans="1:261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51"/>
      <c r="K70" s="104"/>
      <c r="L70" s="104"/>
      <c r="M70" s="104"/>
      <c r="N70" s="151"/>
      <c r="O70" s="104"/>
      <c r="P70" s="104"/>
      <c r="Q70" s="104"/>
      <c r="R70" s="104"/>
      <c r="S70" s="104"/>
      <c r="T70" s="104"/>
      <c r="U70" s="200" t="s">
        <v>360</v>
      </c>
      <c r="V70" s="104" t="s">
        <v>353</v>
      </c>
      <c r="W70" s="200" t="s">
        <v>360</v>
      </c>
      <c r="X70" s="197">
        <v>16.14</v>
      </c>
      <c r="Y70" s="104"/>
      <c r="Z70" s="104" t="s">
        <v>232</v>
      </c>
      <c r="AA70" s="104">
        <v>0.05</v>
      </c>
      <c r="AB70" s="104">
        <v>0.05</v>
      </c>
      <c r="AC70" s="104">
        <v>0.05</v>
      </c>
      <c r="AD70" s="104">
        <v>217</v>
      </c>
      <c r="AE70" s="104"/>
      <c r="AF70" s="104"/>
      <c r="AG70" s="104" t="s">
        <v>355</v>
      </c>
      <c r="AH70" s="104"/>
      <c r="AI70" s="104"/>
      <c r="AJ70" s="104"/>
      <c r="AK70" s="200" t="s">
        <v>297</v>
      </c>
      <c r="AL70" s="198">
        <f t="shared" si="2"/>
        <v>24.344999999999999</v>
      </c>
      <c r="AM70" s="104"/>
      <c r="AN70" s="104" t="s">
        <v>232</v>
      </c>
      <c r="AO70" s="104">
        <v>0.05</v>
      </c>
      <c r="AP70" s="104"/>
      <c r="AQ70" s="104"/>
      <c r="AR70" s="104">
        <f>1.5*217</f>
        <v>325.5</v>
      </c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</row>
    <row r="71" spans="1:261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51"/>
      <c r="K71" s="104"/>
      <c r="L71" s="104"/>
      <c r="M71" s="104"/>
      <c r="N71" s="151"/>
      <c r="O71" s="104"/>
      <c r="P71" s="104"/>
      <c r="Q71" s="104"/>
      <c r="R71" s="104"/>
      <c r="S71" s="104"/>
      <c r="T71" s="104"/>
      <c r="U71" s="201" t="s">
        <v>271</v>
      </c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</row>
    <row r="72" spans="1:261" ht="15" x14ac:dyDescent="0.25">
      <c r="A72" s="104"/>
      <c r="B72" s="104"/>
      <c r="C72" s="104"/>
      <c r="D72" s="104"/>
      <c r="E72" s="104"/>
      <c r="F72" s="104"/>
      <c r="G72" s="104"/>
      <c r="H72" s="104"/>
      <c r="I72" s="104"/>
      <c r="J72" s="151"/>
      <c r="K72" s="104"/>
      <c r="L72" s="104"/>
      <c r="M72" s="104"/>
      <c r="N72" s="151"/>
      <c r="O72" s="104"/>
      <c r="P72" s="104"/>
      <c r="Q72" s="104"/>
      <c r="R72" s="104"/>
      <c r="S72" s="104"/>
      <c r="T72" s="104"/>
      <c r="U72" s="104"/>
      <c r="V72" s="104"/>
      <c r="W72" s="201" t="s">
        <v>269</v>
      </c>
      <c r="X72" s="104"/>
      <c r="Y72" s="104"/>
      <c r="Z72" s="104"/>
      <c r="AA72" s="104"/>
      <c r="AB72" s="104">
        <f>((M17)-5)/100</f>
        <v>0.02</v>
      </c>
      <c r="AC72" s="104"/>
      <c r="AD72" s="104"/>
      <c r="AE72" s="104"/>
      <c r="AF72" s="104"/>
      <c r="AG72" s="159" t="s">
        <v>270</v>
      </c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</row>
    <row r="73" spans="1:261" ht="15" x14ac:dyDescent="0.25">
      <c r="A73" s="104"/>
      <c r="B73" s="104"/>
      <c r="C73" s="104"/>
      <c r="D73" s="104"/>
      <c r="E73" s="104"/>
      <c r="F73" s="104"/>
      <c r="G73" s="104"/>
      <c r="H73" s="104"/>
      <c r="I73" s="104"/>
      <c r="J73" s="151"/>
      <c r="K73" s="104"/>
      <c r="L73" s="104"/>
      <c r="M73" s="104"/>
      <c r="N73" s="151"/>
      <c r="O73" s="104"/>
      <c r="P73" s="104"/>
      <c r="Q73" s="104"/>
      <c r="R73" s="104"/>
      <c r="S73" s="104"/>
      <c r="T73" s="104"/>
      <c r="U73" s="104"/>
      <c r="V73" s="104"/>
      <c r="W73" s="201" t="s">
        <v>298</v>
      </c>
      <c r="X73" s="104" t="s">
        <v>299</v>
      </c>
      <c r="Y73" s="104"/>
      <c r="Z73" s="104"/>
      <c r="AA73" s="104" t="s">
        <v>300</v>
      </c>
      <c r="AB73" s="104"/>
      <c r="AC73" s="104"/>
      <c r="AD73" s="104"/>
      <c r="AE73" s="104"/>
      <c r="AF73" s="104"/>
      <c r="AG73" s="159" t="s">
        <v>202</v>
      </c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</row>
    <row r="74" spans="1:261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51"/>
      <c r="K74" s="104"/>
      <c r="L74" s="104"/>
      <c r="M74" s="104"/>
      <c r="N74" s="151"/>
      <c r="O74" s="104"/>
      <c r="P74" s="104"/>
      <c r="Q74" s="104"/>
      <c r="R74" s="104"/>
      <c r="S74" s="104"/>
      <c r="T74" s="104"/>
      <c r="U74" s="104"/>
      <c r="V74" s="104"/>
      <c r="W74" s="156" t="s">
        <v>223</v>
      </c>
      <c r="X74" s="104" t="b">
        <f>+IF(D17=W24, IF(E17=X11,VLOOKUP(H17,W42:X67,2,FALSE),VLOOKUP(H17,AK42:AL67,2,FALSE)))</f>
        <v>0</v>
      </c>
      <c r="Y74" s="104"/>
      <c r="Z74" s="104"/>
      <c r="AA74" s="104">
        <f>+IF(D17=W24, IF(E17=X11,VLOOKUP(H17,W42:AA67,5,FALSE),VLOOKUP(H17,AK42:AO67,5,FALSE)))+AB72</f>
        <v>0.02</v>
      </c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</row>
    <row r="75" spans="1:261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51"/>
      <c r="K75" s="104"/>
      <c r="L75" s="104"/>
      <c r="M75" s="104"/>
      <c r="N75" s="151"/>
      <c r="O75" s="104"/>
      <c r="P75" s="104"/>
      <c r="Q75" s="104"/>
      <c r="R75" s="104"/>
      <c r="S75" s="104"/>
      <c r="T75" s="104"/>
      <c r="U75" s="104"/>
      <c r="V75" s="104"/>
      <c r="W75" s="156" t="s">
        <v>201</v>
      </c>
      <c r="X75" s="104">
        <f>+IF(D17=W25, IF(E17=X11,VLOOKUP(H17,W42:X67,2,FALSE),VLOOKUP(H17,AK42:AL67,2,FALSE)))</f>
        <v>9.4700000000000006</v>
      </c>
      <c r="Y75" s="104"/>
      <c r="Z75" s="104"/>
      <c r="AA75" s="104">
        <f>+IF(D17=W25, IF(E17=X11,VLOOKUP(H17,W42:AB67,6,FALSE),VLOOKUP(H17,AK42:AP67,6,FALSE)))+AB72</f>
        <v>9.4500000000000001E-2</v>
      </c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</row>
    <row r="76" spans="1:261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51"/>
      <c r="K76" s="104"/>
      <c r="L76" s="104"/>
      <c r="M76" s="104"/>
      <c r="N76" s="151"/>
      <c r="O76" s="104"/>
      <c r="P76" s="104"/>
      <c r="Q76" s="104"/>
      <c r="R76" s="104"/>
      <c r="S76" s="104"/>
      <c r="T76" s="104"/>
      <c r="U76" s="104"/>
      <c r="V76" s="104"/>
      <c r="W76" s="156" t="s">
        <v>228</v>
      </c>
      <c r="X76" s="104" t="b">
        <f>+IF(D17=W26, IF(E17=X11,VLOOKUP(H17,W42:X67,2,FALSE),VLOOKUP(H17,AK42:AL67,2,FALSE)))</f>
        <v>0</v>
      </c>
      <c r="Y76" s="104"/>
      <c r="Z76" s="104"/>
      <c r="AA76" s="104">
        <f>+IF(D17=W26, IF(E17=X11,VLOOKUP(H17,W42:AC67,7,FALSE),VLOOKUP(H17,AK42:AQ67,7,FALSE)))+AB72</f>
        <v>0.02</v>
      </c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</row>
    <row r="77" spans="1:261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51"/>
      <c r="K77" s="104"/>
      <c r="L77" s="104"/>
      <c r="M77" s="104"/>
      <c r="N77" s="151"/>
      <c r="O77" s="104"/>
      <c r="P77" s="104"/>
      <c r="Q77" s="104"/>
      <c r="R77" s="104"/>
      <c r="S77" s="104"/>
      <c r="T77" s="104"/>
      <c r="U77" s="104"/>
      <c r="V77" s="104"/>
      <c r="W77" s="156" t="s">
        <v>288</v>
      </c>
      <c r="X77" s="104" t="b">
        <f>+IF(D17=W27, IF(E17=X11,VLOOKUP(H17,W68:X70,2,FALSE),VLOOKUP(H17,AK68:AL70,2,FALSE)))</f>
        <v>0</v>
      </c>
      <c r="Y77" s="104"/>
      <c r="Z77" s="104"/>
      <c r="AA77" s="104">
        <f>+VLOOKUP(H17,W42:AC70,7,FALSE)+AB72</f>
        <v>9.4E-2</v>
      </c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</row>
    <row r="78" spans="1:261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51"/>
      <c r="K78" s="104"/>
      <c r="L78" s="104"/>
      <c r="M78" s="104"/>
      <c r="N78" s="151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</row>
    <row r="79" spans="1:261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51"/>
      <c r="K79" s="104"/>
      <c r="L79" s="104"/>
      <c r="M79" s="104"/>
      <c r="N79" s="151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</row>
    <row r="80" spans="1:261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51"/>
      <c r="K80" s="104"/>
      <c r="L80" s="104"/>
      <c r="M80" s="104"/>
      <c r="N80" s="151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</row>
    <row r="81" spans="1:261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51"/>
      <c r="K81" s="104"/>
      <c r="L81" s="104"/>
      <c r="M81" s="104"/>
      <c r="N81" s="151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</row>
    <row r="82" spans="1:261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51"/>
      <c r="K82" s="104"/>
      <c r="L82" s="104"/>
      <c r="M82" s="104"/>
      <c r="N82" s="151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</row>
    <row r="83" spans="1:261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51"/>
      <c r="K83" s="104"/>
      <c r="L83" s="104"/>
      <c r="M83" s="104"/>
      <c r="N83" s="151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</row>
    <row r="84" spans="1:261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51"/>
      <c r="K84" s="104"/>
      <c r="L84" s="104"/>
      <c r="M84" s="104"/>
      <c r="N84" s="151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</row>
    <row r="85" spans="1:261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51"/>
      <c r="K85" s="104"/>
      <c r="L85" s="104"/>
      <c r="M85" s="104"/>
      <c r="N85" s="151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</row>
    <row r="86" spans="1:261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51"/>
      <c r="K86" s="104"/>
      <c r="L86" s="104"/>
      <c r="M86" s="104"/>
      <c r="N86" s="151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</row>
    <row r="87" spans="1:261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51"/>
      <c r="K87" s="104"/>
      <c r="L87" s="104"/>
      <c r="M87" s="104"/>
      <c r="N87" s="151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</row>
    <row r="88" spans="1:261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51"/>
      <c r="K88" s="104"/>
      <c r="L88" s="104"/>
      <c r="M88" s="104"/>
      <c r="N88" s="151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</row>
    <row r="89" spans="1:261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51"/>
      <c r="K89" s="104"/>
      <c r="L89" s="104"/>
      <c r="M89" s="104"/>
      <c r="N89" s="151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</row>
    <row r="90" spans="1:261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51"/>
      <c r="K90" s="104"/>
      <c r="L90" s="104"/>
      <c r="M90" s="104"/>
      <c r="N90" s="151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</row>
    <row r="91" spans="1:261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51"/>
      <c r="K91" s="104"/>
      <c r="L91" s="104"/>
      <c r="M91" s="104"/>
      <c r="N91" s="151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</row>
    <row r="92" spans="1:261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51"/>
      <c r="K92" s="104"/>
      <c r="L92" s="104"/>
      <c r="M92" s="104"/>
      <c r="N92" s="151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</row>
    <row r="93" spans="1:261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51"/>
      <c r="K93" s="104"/>
      <c r="L93" s="104"/>
      <c r="M93" s="104"/>
      <c r="N93" s="151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</row>
    <row r="94" spans="1:261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51"/>
      <c r="K94" s="104"/>
      <c r="L94" s="104"/>
      <c r="M94" s="104"/>
      <c r="N94" s="151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</row>
    <row r="95" spans="1:261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51"/>
      <c r="K95" s="104"/>
      <c r="L95" s="104"/>
      <c r="M95" s="104"/>
      <c r="N95" s="151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</row>
    <row r="96" spans="1:261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51"/>
      <c r="K96" s="104"/>
      <c r="L96" s="104"/>
      <c r="M96" s="104"/>
      <c r="N96" s="151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</row>
    <row r="97" spans="1:261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51"/>
      <c r="K97" s="104"/>
      <c r="L97" s="104"/>
      <c r="M97" s="104"/>
      <c r="N97" s="151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</row>
    <row r="98" spans="1:261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51"/>
      <c r="K98" s="104"/>
      <c r="L98" s="104"/>
      <c r="M98" s="104"/>
      <c r="N98" s="151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</row>
    <row r="99" spans="1:261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51"/>
      <c r="K99" s="104"/>
      <c r="L99" s="104"/>
      <c r="M99" s="104"/>
      <c r="N99" s="151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</row>
    <row r="100" spans="1:261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51"/>
      <c r="K100" s="104"/>
      <c r="L100" s="104"/>
      <c r="M100" s="104"/>
      <c r="N100" s="151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</row>
    <row r="101" spans="1:261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51"/>
      <c r="K101" s="104"/>
      <c r="L101" s="104"/>
      <c r="M101" s="104"/>
      <c r="N101" s="151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</row>
    <row r="102" spans="1:261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51"/>
      <c r="K102" s="104"/>
      <c r="L102" s="104"/>
      <c r="M102" s="104"/>
      <c r="N102" s="151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</row>
    <row r="103" spans="1:261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51"/>
      <c r="K103" s="104"/>
      <c r="L103" s="104"/>
      <c r="M103" s="104"/>
      <c r="N103" s="151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</row>
    <row r="104" spans="1:261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51"/>
      <c r="K104" s="104"/>
      <c r="L104" s="104"/>
      <c r="M104" s="104"/>
      <c r="N104" s="151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</row>
    <row r="105" spans="1:261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51"/>
      <c r="K105" s="104"/>
      <c r="L105" s="104"/>
      <c r="M105" s="104"/>
      <c r="N105" s="151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</row>
    <row r="106" spans="1:261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51"/>
      <c r="K106" s="104"/>
      <c r="L106" s="104"/>
      <c r="M106" s="104"/>
      <c r="N106" s="151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</row>
    <row r="107" spans="1:261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51"/>
      <c r="K107" s="104"/>
      <c r="L107" s="104"/>
      <c r="M107" s="104"/>
      <c r="N107" s="151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</row>
    <row r="108" spans="1:261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51"/>
      <c r="K108" s="104"/>
      <c r="L108" s="104"/>
      <c r="M108" s="104"/>
      <c r="N108" s="151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</row>
    <row r="109" spans="1:261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51"/>
      <c r="K109" s="104"/>
      <c r="L109" s="104"/>
      <c r="M109" s="104"/>
      <c r="N109" s="151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</row>
    <row r="110" spans="1:261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51"/>
      <c r="K110" s="104"/>
      <c r="L110" s="104"/>
      <c r="M110" s="104"/>
      <c r="N110" s="151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</row>
    <row r="111" spans="1:26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51"/>
      <c r="K111" s="104"/>
      <c r="L111" s="104"/>
      <c r="M111" s="104"/>
      <c r="N111" s="151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</row>
    <row r="112" spans="1:26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51"/>
      <c r="K112" s="104"/>
      <c r="L112" s="104"/>
      <c r="M112" s="104"/>
      <c r="N112" s="151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</row>
    <row r="113" spans="1:261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51"/>
      <c r="K113" s="104"/>
      <c r="L113" s="104"/>
      <c r="M113" s="104"/>
      <c r="N113" s="151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</row>
    <row r="114" spans="1:261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51"/>
      <c r="K114" s="104"/>
      <c r="L114" s="104"/>
      <c r="M114" s="104"/>
      <c r="N114" s="151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</row>
    <row r="115" spans="1:261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51"/>
      <c r="K115" s="104"/>
      <c r="L115" s="104"/>
      <c r="M115" s="104"/>
      <c r="N115" s="151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</row>
    <row r="116" spans="1:261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51"/>
      <c r="K116" s="104"/>
      <c r="L116" s="104"/>
      <c r="M116" s="104"/>
      <c r="N116" s="151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</row>
    <row r="117" spans="1:261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51"/>
      <c r="K117" s="104"/>
      <c r="L117" s="104"/>
      <c r="M117" s="104"/>
      <c r="N117" s="151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</row>
    <row r="118" spans="1:261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51"/>
      <c r="K118" s="104"/>
      <c r="L118" s="104"/>
      <c r="M118" s="104"/>
      <c r="N118" s="151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</row>
    <row r="119" spans="1:261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51"/>
      <c r="K119" s="104"/>
      <c r="L119" s="104"/>
      <c r="M119" s="104"/>
      <c r="N119" s="151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</row>
    <row r="120" spans="1:261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51"/>
      <c r="K120" s="104"/>
      <c r="L120" s="104"/>
      <c r="M120" s="104"/>
      <c r="N120" s="151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</row>
    <row r="121" spans="1:261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51"/>
      <c r="K121" s="104"/>
      <c r="L121" s="104"/>
      <c r="M121" s="104"/>
      <c r="N121" s="151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</row>
    <row r="122" spans="1:261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51"/>
      <c r="K122" s="104"/>
      <c r="L122" s="104"/>
      <c r="M122" s="104"/>
      <c r="N122" s="151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</row>
    <row r="123" spans="1:261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51"/>
      <c r="K123" s="104"/>
      <c r="L123" s="104"/>
      <c r="M123" s="104"/>
      <c r="N123" s="151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</row>
    <row r="124" spans="1:261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51"/>
      <c r="K124" s="104"/>
      <c r="L124" s="104"/>
      <c r="M124" s="104"/>
      <c r="N124" s="151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</row>
    <row r="125" spans="1:261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51"/>
      <c r="K125" s="104"/>
      <c r="L125" s="104"/>
      <c r="M125" s="104"/>
      <c r="N125" s="151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</row>
    <row r="126" spans="1:261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51"/>
      <c r="K126" s="104"/>
      <c r="L126" s="104"/>
      <c r="M126" s="104"/>
      <c r="N126" s="151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</row>
    <row r="127" spans="1:261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51"/>
      <c r="K127" s="104"/>
      <c r="L127" s="104"/>
      <c r="M127" s="104"/>
      <c r="N127" s="151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</row>
    <row r="128" spans="1:261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51"/>
      <c r="K128" s="104"/>
      <c r="L128" s="104"/>
      <c r="M128" s="104"/>
      <c r="N128" s="151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</row>
    <row r="129" spans="1:261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51"/>
      <c r="K129" s="104"/>
      <c r="L129" s="104"/>
      <c r="M129" s="104"/>
      <c r="N129" s="151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</row>
    <row r="130" spans="1:261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51"/>
      <c r="K130" s="104"/>
      <c r="L130" s="104"/>
      <c r="M130" s="104"/>
      <c r="N130" s="151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</row>
    <row r="131" spans="1:261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51"/>
      <c r="K131" s="104"/>
      <c r="L131" s="104"/>
      <c r="M131" s="104"/>
      <c r="N131" s="151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</row>
    <row r="132" spans="1:26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51"/>
      <c r="K132" s="104"/>
      <c r="L132" s="104"/>
      <c r="M132" s="104"/>
      <c r="N132" s="151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</row>
    <row r="133" spans="1:26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51"/>
      <c r="K133" s="104"/>
      <c r="L133" s="104"/>
      <c r="M133" s="104"/>
      <c r="N133" s="151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</row>
    <row r="134" spans="1:26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51"/>
      <c r="K134" s="104"/>
      <c r="L134" s="104"/>
      <c r="M134" s="104"/>
      <c r="N134" s="151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</row>
    <row r="135" spans="1:26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51"/>
      <c r="K135" s="104"/>
      <c r="L135" s="104"/>
      <c r="M135" s="104"/>
      <c r="N135" s="151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</row>
    <row r="136" spans="1:26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51"/>
      <c r="K136" s="104"/>
      <c r="L136" s="104"/>
      <c r="M136" s="104"/>
      <c r="N136" s="151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</row>
    <row r="137" spans="1:26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51"/>
      <c r="K137" s="104"/>
      <c r="L137" s="104"/>
      <c r="M137" s="104"/>
      <c r="N137" s="151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</row>
    <row r="138" spans="1:26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51"/>
      <c r="K138" s="104"/>
      <c r="L138" s="104"/>
      <c r="M138" s="104"/>
      <c r="N138" s="151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</row>
    <row r="139" spans="1:26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51"/>
      <c r="K139" s="104"/>
      <c r="L139" s="104"/>
      <c r="M139" s="104"/>
      <c r="N139" s="151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</row>
    <row r="140" spans="1:26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51"/>
      <c r="K140" s="104"/>
      <c r="L140" s="104"/>
      <c r="M140" s="104"/>
      <c r="N140" s="151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</row>
    <row r="141" spans="1:26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51"/>
      <c r="K141" s="104"/>
      <c r="L141" s="104"/>
      <c r="M141" s="104"/>
      <c r="N141" s="151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</row>
    <row r="142" spans="1:26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51"/>
      <c r="K142" s="104"/>
      <c r="L142" s="104"/>
      <c r="M142" s="104"/>
      <c r="N142" s="151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</row>
    <row r="143" spans="1:26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51"/>
      <c r="K143" s="104"/>
      <c r="L143" s="104"/>
      <c r="M143" s="104"/>
      <c r="N143" s="151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</row>
    <row r="144" spans="1:26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51"/>
      <c r="K144" s="104"/>
      <c r="L144" s="104"/>
      <c r="M144" s="104"/>
      <c r="N144" s="151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</row>
    <row r="145" spans="1:26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51"/>
      <c r="K145" s="104"/>
      <c r="L145" s="104"/>
      <c r="M145" s="104"/>
      <c r="N145" s="151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</row>
    <row r="146" spans="1:26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51"/>
      <c r="K146" s="104"/>
      <c r="L146" s="104"/>
      <c r="M146" s="104"/>
      <c r="N146" s="151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</row>
    <row r="147" spans="1:26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51"/>
      <c r="K147" s="104"/>
      <c r="L147" s="104"/>
      <c r="M147" s="104"/>
      <c r="N147" s="151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</row>
    <row r="148" spans="1:26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51"/>
      <c r="K148" s="104"/>
      <c r="L148" s="104"/>
      <c r="M148" s="104"/>
      <c r="N148" s="151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</row>
    <row r="149" spans="1:26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51"/>
      <c r="K149" s="104"/>
      <c r="L149" s="104"/>
      <c r="M149" s="104"/>
      <c r="N149" s="151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</row>
    <row r="150" spans="1:26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51"/>
      <c r="K150" s="104"/>
      <c r="L150" s="104"/>
      <c r="M150" s="104"/>
      <c r="N150" s="151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</row>
    <row r="151" spans="1:26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51"/>
      <c r="K151" s="104"/>
      <c r="L151" s="104"/>
      <c r="M151" s="104"/>
      <c r="N151" s="151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</row>
    <row r="152" spans="1:26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51"/>
      <c r="K152" s="104"/>
      <c r="L152" s="104"/>
      <c r="M152" s="104"/>
      <c r="N152" s="151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</row>
    <row r="153" spans="1:26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51"/>
      <c r="K153" s="104"/>
      <c r="L153" s="104"/>
      <c r="M153" s="104"/>
      <c r="N153" s="151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</row>
    <row r="154" spans="1:26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51"/>
      <c r="K154" s="104"/>
      <c r="L154" s="104"/>
      <c r="M154" s="104"/>
      <c r="N154" s="151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</row>
    <row r="155" spans="1:26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51"/>
      <c r="K155" s="104"/>
      <c r="L155" s="104"/>
      <c r="M155" s="104"/>
      <c r="N155" s="151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</row>
    <row r="156" spans="1:26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51"/>
      <c r="K156" s="104"/>
      <c r="L156" s="104"/>
      <c r="M156" s="104"/>
      <c r="N156" s="151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</row>
    <row r="157" spans="1:26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51"/>
      <c r="K157" s="104"/>
      <c r="L157" s="104"/>
      <c r="M157" s="104"/>
      <c r="N157" s="151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</row>
    <row r="158" spans="1:26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51"/>
      <c r="K158" s="104"/>
      <c r="L158" s="104"/>
      <c r="M158" s="104"/>
      <c r="N158" s="151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</row>
    <row r="159" spans="1:26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51"/>
      <c r="K159" s="104"/>
      <c r="L159" s="104"/>
      <c r="M159" s="104"/>
      <c r="N159" s="151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</row>
    <row r="160" spans="1:26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51"/>
      <c r="K160" s="104"/>
      <c r="L160" s="104"/>
      <c r="M160" s="104"/>
      <c r="N160" s="151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</row>
    <row r="161" spans="1:26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51"/>
      <c r="K161" s="104"/>
      <c r="L161" s="104"/>
      <c r="M161" s="104"/>
      <c r="N161" s="151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</row>
    <row r="162" spans="1:26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51"/>
      <c r="K162" s="104"/>
      <c r="L162" s="104"/>
      <c r="M162" s="104"/>
      <c r="N162" s="151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</row>
    <row r="163" spans="1:26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51"/>
      <c r="K163" s="104"/>
      <c r="L163" s="104"/>
      <c r="M163" s="104"/>
      <c r="N163" s="151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</row>
    <row r="164" spans="1:261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51"/>
      <c r="K164" s="104"/>
      <c r="L164" s="104"/>
      <c r="M164" s="104"/>
      <c r="N164" s="151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</row>
    <row r="165" spans="1:261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51"/>
      <c r="K165" s="104"/>
      <c r="L165" s="104"/>
      <c r="M165" s="104"/>
      <c r="N165" s="151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</row>
    <row r="166" spans="1:261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51"/>
      <c r="K166" s="104"/>
      <c r="L166" s="104"/>
      <c r="M166" s="104"/>
      <c r="N166" s="151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</row>
    <row r="167" spans="1:261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51"/>
      <c r="K167" s="104"/>
      <c r="L167" s="104"/>
      <c r="M167" s="104"/>
      <c r="N167" s="151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</row>
    <row r="168" spans="1:261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51"/>
      <c r="K168" s="104"/>
      <c r="L168" s="104"/>
      <c r="M168" s="104"/>
      <c r="N168" s="151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</row>
    <row r="169" spans="1:261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51"/>
      <c r="K169" s="104"/>
      <c r="L169" s="104"/>
      <c r="M169" s="104"/>
      <c r="N169" s="151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</row>
    <row r="170" spans="1:261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51"/>
      <c r="K170" s="104"/>
      <c r="L170" s="104"/>
      <c r="M170" s="104"/>
      <c r="N170" s="151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</row>
    <row r="171" spans="1:261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51"/>
      <c r="K171" s="104"/>
      <c r="L171" s="104"/>
      <c r="M171" s="104"/>
      <c r="N171" s="151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</row>
    <row r="172" spans="1:261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51"/>
      <c r="K172" s="104"/>
      <c r="L172" s="104"/>
      <c r="M172" s="104"/>
      <c r="N172" s="151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</row>
    <row r="173" spans="1:261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51"/>
      <c r="K173" s="104"/>
      <c r="L173" s="104"/>
      <c r="M173" s="104"/>
      <c r="N173" s="151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</row>
    <row r="174" spans="1:261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51"/>
      <c r="K174" s="104"/>
      <c r="L174" s="104"/>
      <c r="M174" s="104"/>
      <c r="N174" s="151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</row>
    <row r="175" spans="1:261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51"/>
      <c r="K175" s="104"/>
      <c r="L175" s="104"/>
      <c r="M175" s="104"/>
      <c r="N175" s="151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</row>
    <row r="176" spans="1:261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51"/>
      <c r="K176" s="104"/>
      <c r="L176" s="104"/>
      <c r="M176" s="104"/>
      <c r="N176" s="151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</row>
    <row r="177" spans="1:261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51"/>
      <c r="K177" s="104"/>
      <c r="L177" s="104"/>
      <c r="M177" s="104"/>
      <c r="N177" s="151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</row>
    <row r="178" spans="1:261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51"/>
      <c r="K178" s="104"/>
      <c r="L178" s="104"/>
      <c r="M178" s="104"/>
      <c r="N178" s="151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</row>
    <row r="179" spans="1:261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51"/>
      <c r="K179" s="104"/>
      <c r="L179" s="104"/>
      <c r="M179" s="104"/>
      <c r="N179" s="151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</row>
    <row r="180" spans="1:261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51"/>
      <c r="K180" s="104"/>
      <c r="L180" s="104"/>
      <c r="M180" s="104"/>
      <c r="N180" s="151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</row>
    <row r="181" spans="1:261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51"/>
      <c r="K181" s="104"/>
      <c r="L181" s="104"/>
      <c r="M181" s="104"/>
      <c r="N181" s="151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</row>
    <row r="182" spans="1:261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51"/>
      <c r="K182" s="104"/>
      <c r="L182" s="104"/>
      <c r="M182" s="104"/>
      <c r="N182" s="151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</row>
    <row r="183" spans="1:261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51"/>
      <c r="K183" s="104"/>
      <c r="L183" s="104"/>
      <c r="M183" s="104"/>
      <c r="N183" s="151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</row>
    <row r="184" spans="1:261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51"/>
      <c r="K184" s="104"/>
      <c r="L184" s="104"/>
      <c r="M184" s="104"/>
      <c r="N184" s="151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</row>
    <row r="185" spans="1:261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51"/>
      <c r="K185" s="104"/>
      <c r="L185" s="104"/>
      <c r="M185" s="104"/>
      <c r="N185" s="151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</row>
    <row r="186" spans="1:261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51"/>
      <c r="K186" s="104"/>
      <c r="L186" s="104"/>
      <c r="M186" s="104"/>
      <c r="N186" s="151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</row>
    <row r="187" spans="1:261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51"/>
      <c r="K187" s="104"/>
      <c r="L187" s="104"/>
      <c r="M187" s="104"/>
      <c r="N187" s="151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</row>
    <row r="188" spans="1:261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51"/>
      <c r="K188" s="104"/>
      <c r="L188" s="104"/>
      <c r="M188" s="104"/>
      <c r="N188" s="151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</row>
    <row r="189" spans="1:261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51"/>
      <c r="K189" s="104"/>
      <c r="L189" s="104"/>
      <c r="M189" s="104"/>
      <c r="N189" s="151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</row>
    <row r="190" spans="1:261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51"/>
      <c r="K190" s="104"/>
      <c r="L190" s="104"/>
      <c r="M190" s="104"/>
      <c r="N190" s="151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</row>
    <row r="191" spans="1:261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51"/>
      <c r="K191" s="104"/>
      <c r="L191" s="104"/>
      <c r="M191" s="104"/>
      <c r="N191" s="151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</row>
    <row r="192" spans="1:261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51"/>
      <c r="K192" s="104"/>
      <c r="L192" s="104"/>
      <c r="M192" s="104"/>
      <c r="N192" s="151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</row>
    <row r="193" spans="1:261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51"/>
      <c r="K193" s="104"/>
      <c r="L193" s="104"/>
      <c r="M193" s="104"/>
      <c r="N193" s="151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</row>
    <row r="194" spans="1:261" x14ac:dyDescent="0.2">
      <c r="B194" s="104"/>
      <c r="C194" s="104"/>
      <c r="D194" s="104"/>
      <c r="E194" s="104"/>
      <c r="F194" s="104"/>
      <c r="G194" s="104"/>
      <c r="H194" s="104"/>
      <c r="I194" s="104"/>
      <c r="J194" s="151"/>
      <c r="K194" s="104"/>
      <c r="L194" s="104"/>
      <c r="M194" s="104"/>
      <c r="N194" s="151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</row>
    <row r="195" spans="1:261" x14ac:dyDescent="0.2">
      <c r="B195" s="104"/>
      <c r="C195" s="104"/>
      <c r="D195" s="104"/>
      <c r="E195" s="104"/>
      <c r="F195" s="104"/>
      <c r="G195" s="104"/>
      <c r="H195" s="104"/>
      <c r="I195" s="104"/>
      <c r="J195" s="151"/>
      <c r="K195" s="104"/>
      <c r="L195" s="104"/>
      <c r="M195" s="104"/>
      <c r="N195" s="151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</row>
    <row r="196" spans="1:261" x14ac:dyDescent="0.2">
      <c r="B196" s="104"/>
      <c r="C196" s="104"/>
      <c r="D196" s="104"/>
      <c r="E196" s="104"/>
      <c r="F196" s="104"/>
      <c r="G196" s="104"/>
      <c r="H196" s="104"/>
      <c r="I196" s="104"/>
      <c r="J196" s="151"/>
      <c r="K196" s="104"/>
      <c r="L196" s="104"/>
      <c r="M196" s="104"/>
      <c r="N196" s="151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</row>
    <row r="197" spans="1:261" x14ac:dyDescent="0.2">
      <c r="B197" s="104"/>
      <c r="C197" s="104"/>
      <c r="D197" s="104"/>
      <c r="E197" s="104"/>
      <c r="F197" s="104"/>
      <c r="G197" s="104"/>
      <c r="H197" s="104"/>
      <c r="I197" s="104"/>
      <c r="J197" s="151"/>
      <c r="K197" s="104"/>
      <c r="L197" s="104"/>
      <c r="M197" s="104"/>
      <c r="N197" s="151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</row>
    <row r="198" spans="1:261" x14ac:dyDescent="0.2">
      <c r="B198" s="104"/>
      <c r="C198" s="104"/>
      <c r="D198" s="104"/>
      <c r="E198" s="104"/>
      <c r="F198" s="104"/>
      <c r="G198" s="104"/>
      <c r="H198" s="104"/>
      <c r="I198" s="104"/>
      <c r="J198" s="151"/>
      <c r="K198" s="104"/>
      <c r="L198" s="104"/>
      <c r="M198" s="104"/>
      <c r="N198" s="151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</row>
    <row r="199" spans="1:261" x14ac:dyDescent="0.2">
      <c r="B199" s="104"/>
      <c r="C199" s="104"/>
      <c r="D199" s="104"/>
      <c r="E199" s="104"/>
      <c r="F199" s="104"/>
      <c r="G199" s="104"/>
      <c r="H199" s="104"/>
      <c r="I199" s="104"/>
      <c r="J199" s="151"/>
      <c r="K199" s="104"/>
      <c r="L199" s="104"/>
      <c r="M199" s="104"/>
      <c r="N199" s="151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</row>
    <row r="200" spans="1:261" x14ac:dyDescent="0.2">
      <c r="B200" s="104"/>
      <c r="C200" s="104"/>
      <c r="D200" s="104"/>
      <c r="E200" s="104"/>
      <c r="F200" s="104"/>
      <c r="G200" s="104"/>
      <c r="H200" s="104"/>
      <c r="I200" s="104"/>
      <c r="J200" s="151"/>
      <c r="K200" s="104"/>
      <c r="L200" s="104"/>
      <c r="M200" s="104"/>
      <c r="N200" s="151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</row>
    <row r="201" spans="1:261" x14ac:dyDescent="0.2">
      <c r="B201" s="104"/>
      <c r="C201" s="104"/>
      <c r="D201" s="104"/>
      <c r="E201" s="104"/>
      <c r="F201" s="104"/>
      <c r="G201" s="104"/>
      <c r="H201" s="104"/>
      <c r="I201" s="104"/>
      <c r="J201" s="151"/>
      <c r="K201" s="104"/>
      <c r="L201" s="104"/>
      <c r="M201" s="104"/>
      <c r="N201" s="151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</row>
    <row r="202" spans="1:261" x14ac:dyDescent="0.2">
      <c r="B202" s="104"/>
      <c r="C202" s="104"/>
      <c r="D202" s="104"/>
      <c r="E202" s="104"/>
      <c r="F202" s="104"/>
      <c r="G202" s="104"/>
      <c r="H202" s="104"/>
      <c r="I202" s="104"/>
      <c r="J202" s="151"/>
      <c r="K202" s="104"/>
      <c r="L202" s="104"/>
      <c r="M202" s="104"/>
      <c r="N202" s="151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</row>
    <row r="203" spans="1:261" x14ac:dyDescent="0.2">
      <c r="B203" s="104"/>
      <c r="C203" s="104"/>
      <c r="D203" s="104"/>
      <c r="E203" s="104"/>
      <c r="F203" s="104"/>
      <c r="G203" s="104"/>
      <c r="H203" s="104"/>
      <c r="I203" s="104"/>
      <c r="J203" s="151"/>
      <c r="K203" s="104"/>
      <c r="L203" s="104"/>
      <c r="M203" s="104"/>
      <c r="N203" s="151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</row>
    <row r="204" spans="1:261" x14ac:dyDescent="0.2">
      <c r="B204" s="104"/>
      <c r="C204" s="104"/>
      <c r="D204" s="104"/>
      <c r="E204" s="104"/>
      <c r="F204" s="104"/>
      <c r="G204" s="104"/>
      <c r="H204" s="104"/>
      <c r="I204" s="104"/>
      <c r="J204" s="151"/>
      <c r="K204" s="104"/>
      <c r="L204" s="104"/>
      <c r="M204" s="104"/>
      <c r="N204" s="151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</row>
    <row r="205" spans="1:261" x14ac:dyDescent="0.2">
      <c r="B205" s="104"/>
      <c r="C205" s="104"/>
      <c r="D205" s="104"/>
      <c r="E205" s="104"/>
      <c r="F205" s="104"/>
      <c r="G205" s="104"/>
      <c r="H205" s="104"/>
      <c r="I205" s="104"/>
      <c r="J205" s="151"/>
      <c r="K205" s="104"/>
      <c r="L205" s="104"/>
      <c r="M205" s="104"/>
      <c r="N205" s="151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</row>
    <row r="206" spans="1:261" x14ac:dyDescent="0.2">
      <c r="B206" s="104"/>
      <c r="C206" s="104"/>
      <c r="D206" s="104"/>
      <c r="E206" s="104"/>
      <c r="F206" s="104"/>
      <c r="G206" s="104"/>
      <c r="H206" s="104"/>
      <c r="I206" s="104"/>
      <c r="J206" s="151"/>
      <c r="K206" s="104"/>
      <c r="L206" s="104"/>
      <c r="M206" s="104"/>
      <c r="N206" s="151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</row>
    <row r="207" spans="1:261" x14ac:dyDescent="0.2">
      <c r="B207" s="104"/>
      <c r="C207" s="104"/>
      <c r="D207" s="104"/>
      <c r="E207" s="104"/>
      <c r="F207" s="104"/>
      <c r="G207" s="104"/>
      <c r="H207" s="104"/>
      <c r="I207" s="104"/>
      <c r="J207" s="151"/>
      <c r="K207" s="104"/>
      <c r="L207" s="104"/>
      <c r="M207" s="104"/>
      <c r="N207" s="151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</row>
    <row r="208" spans="1:261" x14ac:dyDescent="0.2">
      <c r="B208" s="104"/>
      <c r="C208" s="104"/>
      <c r="D208" s="104"/>
      <c r="E208" s="104"/>
      <c r="F208" s="104"/>
      <c r="G208" s="104"/>
      <c r="H208" s="104"/>
      <c r="I208" s="104"/>
      <c r="J208" s="151"/>
      <c r="K208" s="104"/>
      <c r="L208" s="104"/>
      <c r="M208" s="104"/>
      <c r="N208" s="151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</row>
    <row r="209" spans="2:261" x14ac:dyDescent="0.2">
      <c r="B209" s="104"/>
      <c r="C209" s="104"/>
      <c r="D209" s="104"/>
      <c r="E209" s="104"/>
      <c r="F209" s="104"/>
      <c r="G209" s="104"/>
      <c r="H209" s="104"/>
      <c r="I209" s="104"/>
      <c r="J209" s="151"/>
      <c r="K209" s="104"/>
      <c r="L209" s="104"/>
      <c r="M209" s="104"/>
      <c r="N209" s="151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</row>
    <row r="210" spans="2:261" x14ac:dyDescent="0.2">
      <c r="B210" s="104"/>
      <c r="C210" s="104"/>
      <c r="D210" s="104"/>
      <c r="E210" s="104"/>
      <c r="F210" s="104"/>
      <c r="G210" s="104"/>
      <c r="H210" s="104"/>
      <c r="I210" s="104"/>
      <c r="J210" s="151"/>
      <c r="K210" s="104"/>
      <c r="L210" s="104"/>
      <c r="M210" s="104"/>
      <c r="N210" s="151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</row>
    <row r="211" spans="2:261" x14ac:dyDescent="0.2">
      <c r="B211" s="104"/>
      <c r="C211" s="104"/>
      <c r="D211" s="104"/>
      <c r="E211" s="104"/>
      <c r="F211" s="104"/>
      <c r="G211" s="104"/>
      <c r="H211" s="104"/>
      <c r="I211" s="104"/>
      <c r="J211" s="151"/>
      <c r="K211" s="104"/>
      <c r="L211" s="104"/>
      <c r="M211" s="104"/>
      <c r="N211" s="151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</row>
    <row r="212" spans="2:261" x14ac:dyDescent="0.2">
      <c r="B212" s="104"/>
      <c r="C212" s="104"/>
      <c r="D212" s="104"/>
      <c r="E212" s="104"/>
      <c r="F212" s="104"/>
      <c r="G212" s="104"/>
      <c r="H212" s="104"/>
      <c r="I212" s="104"/>
      <c r="J212" s="151"/>
      <c r="K212" s="104"/>
      <c r="L212" s="104"/>
      <c r="M212" s="104"/>
      <c r="N212" s="151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</row>
    <row r="213" spans="2:261" x14ac:dyDescent="0.2">
      <c r="B213" s="104"/>
      <c r="C213" s="104"/>
      <c r="D213" s="104"/>
      <c r="E213" s="104"/>
      <c r="F213" s="104"/>
      <c r="G213" s="104"/>
      <c r="H213" s="104"/>
      <c r="I213" s="104"/>
      <c r="J213" s="151"/>
      <c r="K213" s="104"/>
      <c r="L213" s="104"/>
      <c r="M213" s="104"/>
      <c r="N213" s="151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</row>
    <row r="214" spans="2:261" x14ac:dyDescent="0.2">
      <c r="B214" s="104"/>
      <c r="C214" s="104"/>
      <c r="D214" s="104"/>
      <c r="E214" s="104"/>
      <c r="F214" s="104"/>
      <c r="G214" s="104"/>
      <c r="H214" s="104"/>
      <c r="I214" s="104"/>
      <c r="J214" s="151"/>
      <c r="K214" s="104"/>
      <c r="L214" s="104"/>
      <c r="M214" s="104"/>
      <c r="N214" s="151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</row>
    <row r="215" spans="2:261" x14ac:dyDescent="0.2">
      <c r="B215" s="104"/>
      <c r="C215" s="104"/>
      <c r="D215" s="104"/>
      <c r="E215" s="104"/>
      <c r="F215" s="104"/>
      <c r="G215" s="104"/>
      <c r="H215" s="104"/>
      <c r="I215" s="104"/>
      <c r="J215" s="151"/>
      <c r="K215" s="104"/>
      <c r="L215" s="104"/>
      <c r="M215" s="104"/>
      <c r="N215" s="151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</row>
    <row r="216" spans="2:261" x14ac:dyDescent="0.2">
      <c r="B216" s="104"/>
      <c r="C216" s="104"/>
      <c r="D216" s="104"/>
      <c r="E216" s="104"/>
      <c r="F216" s="104"/>
      <c r="G216" s="104"/>
      <c r="H216" s="104"/>
      <c r="I216" s="104"/>
      <c r="J216" s="151"/>
      <c r="K216" s="104"/>
      <c r="L216" s="104"/>
      <c r="M216" s="104"/>
      <c r="N216" s="151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</row>
    <row r="217" spans="2:261" x14ac:dyDescent="0.2">
      <c r="B217" s="104"/>
      <c r="C217" s="104"/>
      <c r="D217" s="104"/>
      <c r="E217" s="104"/>
      <c r="F217" s="104"/>
      <c r="G217" s="104"/>
      <c r="H217" s="104"/>
      <c r="I217" s="104"/>
      <c r="J217" s="151"/>
      <c r="K217" s="104"/>
      <c r="L217" s="104"/>
      <c r="M217" s="104"/>
      <c r="N217" s="151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</row>
    <row r="218" spans="2:261" x14ac:dyDescent="0.2">
      <c r="B218" s="104"/>
      <c r="C218" s="104"/>
      <c r="D218" s="104"/>
      <c r="E218" s="104"/>
      <c r="F218" s="104"/>
      <c r="G218" s="104"/>
      <c r="H218" s="104"/>
      <c r="I218" s="104"/>
      <c r="J218" s="151"/>
      <c r="K218" s="104"/>
      <c r="L218" s="104"/>
      <c r="M218" s="104"/>
      <c r="N218" s="151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</row>
    <row r="219" spans="2:261" x14ac:dyDescent="0.2">
      <c r="B219" s="104"/>
      <c r="C219" s="104"/>
      <c r="D219" s="104"/>
      <c r="E219" s="104"/>
      <c r="F219" s="104"/>
      <c r="G219" s="104"/>
      <c r="H219" s="104"/>
      <c r="I219" s="104"/>
      <c r="J219" s="151"/>
      <c r="K219" s="104"/>
      <c r="L219" s="104"/>
      <c r="M219" s="104"/>
      <c r="N219" s="151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</row>
    <row r="220" spans="2:261" x14ac:dyDescent="0.2">
      <c r="B220" s="104"/>
      <c r="C220" s="104"/>
      <c r="D220" s="104"/>
      <c r="E220" s="104"/>
      <c r="F220" s="104"/>
      <c r="G220" s="104"/>
      <c r="H220" s="104"/>
      <c r="I220" s="104"/>
      <c r="J220" s="151"/>
      <c r="K220" s="104"/>
      <c r="L220" s="104"/>
      <c r="M220" s="104"/>
      <c r="N220" s="151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</row>
    <row r="221" spans="2:261" x14ac:dyDescent="0.2">
      <c r="B221" s="104"/>
      <c r="C221" s="104"/>
      <c r="D221" s="104"/>
      <c r="E221" s="104"/>
      <c r="F221" s="104"/>
      <c r="G221" s="104"/>
      <c r="H221" s="104"/>
      <c r="I221" s="104"/>
      <c r="J221" s="151"/>
      <c r="K221" s="104"/>
      <c r="L221" s="104"/>
      <c r="M221" s="104"/>
      <c r="N221" s="151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</row>
    <row r="222" spans="2:261" x14ac:dyDescent="0.2">
      <c r="B222" s="104"/>
      <c r="C222" s="104"/>
      <c r="D222" s="104"/>
      <c r="E222" s="104"/>
      <c r="F222" s="104"/>
      <c r="G222" s="104"/>
      <c r="H222" s="104"/>
      <c r="I222" s="104"/>
      <c r="J222" s="151"/>
      <c r="K222" s="104"/>
      <c r="L222" s="104"/>
      <c r="M222" s="104"/>
      <c r="N222" s="151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</row>
    <row r="223" spans="2:261" x14ac:dyDescent="0.2">
      <c r="B223" s="104"/>
      <c r="C223" s="104"/>
      <c r="D223" s="104"/>
      <c r="E223" s="104"/>
      <c r="F223" s="104"/>
      <c r="G223" s="104"/>
      <c r="H223" s="104"/>
      <c r="I223" s="104"/>
      <c r="J223" s="151"/>
      <c r="K223" s="104"/>
      <c r="L223" s="104"/>
      <c r="M223" s="104"/>
      <c r="N223" s="151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</row>
    <row r="224" spans="2:261" x14ac:dyDescent="0.2">
      <c r="B224" s="104"/>
      <c r="C224" s="104"/>
      <c r="D224" s="104"/>
      <c r="E224" s="104"/>
      <c r="F224" s="104"/>
      <c r="G224" s="104"/>
      <c r="H224" s="104"/>
      <c r="I224" s="104"/>
      <c r="J224" s="151"/>
      <c r="K224" s="104"/>
      <c r="L224" s="104"/>
      <c r="M224" s="104"/>
      <c r="N224" s="151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</row>
    <row r="225" spans="2:261" x14ac:dyDescent="0.2">
      <c r="B225" s="104"/>
      <c r="C225" s="104"/>
      <c r="D225" s="104"/>
      <c r="E225" s="104"/>
      <c r="F225" s="104"/>
      <c r="G225" s="104"/>
      <c r="H225" s="104"/>
      <c r="I225" s="104"/>
      <c r="J225" s="151"/>
      <c r="K225" s="104"/>
      <c r="L225" s="104"/>
      <c r="M225" s="104"/>
      <c r="N225" s="151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</row>
    <row r="226" spans="2:261" x14ac:dyDescent="0.2">
      <c r="B226" s="104"/>
      <c r="C226" s="104"/>
      <c r="D226" s="104"/>
      <c r="E226" s="104"/>
      <c r="F226" s="104"/>
      <c r="G226" s="104"/>
      <c r="H226" s="104"/>
      <c r="I226" s="104"/>
      <c r="J226" s="151"/>
      <c r="K226" s="104"/>
      <c r="L226" s="104"/>
      <c r="M226" s="104"/>
      <c r="N226" s="151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</row>
    <row r="227" spans="2:261" x14ac:dyDescent="0.2">
      <c r="B227" s="104"/>
      <c r="C227" s="104"/>
      <c r="D227" s="104"/>
      <c r="E227" s="104"/>
      <c r="F227" s="104"/>
      <c r="G227" s="104"/>
      <c r="H227" s="104"/>
      <c r="I227" s="104"/>
      <c r="J227" s="151"/>
      <c r="K227" s="104"/>
      <c r="L227" s="104"/>
      <c r="M227" s="104"/>
      <c r="N227" s="151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</row>
    <row r="228" spans="2:261" x14ac:dyDescent="0.2">
      <c r="B228" s="104"/>
      <c r="C228" s="104"/>
      <c r="D228" s="104"/>
      <c r="E228" s="104"/>
      <c r="F228" s="104"/>
      <c r="G228" s="104"/>
      <c r="H228" s="104"/>
      <c r="I228" s="104"/>
      <c r="J228" s="151"/>
      <c r="K228" s="104"/>
      <c r="L228" s="104"/>
      <c r="M228" s="104"/>
      <c r="N228" s="151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</row>
    <row r="229" spans="2:261" x14ac:dyDescent="0.2">
      <c r="B229" s="104"/>
      <c r="C229" s="104"/>
      <c r="D229" s="104"/>
      <c r="E229" s="104"/>
      <c r="F229" s="104"/>
      <c r="G229" s="104"/>
      <c r="H229" s="104"/>
      <c r="I229" s="104"/>
      <c r="J229" s="151"/>
      <c r="K229" s="104"/>
      <c r="L229" s="104"/>
      <c r="M229" s="104"/>
      <c r="N229" s="151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</row>
    <row r="230" spans="2:261" x14ac:dyDescent="0.2">
      <c r="B230" s="104"/>
      <c r="C230" s="104"/>
      <c r="D230" s="104"/>
      <c r="E230" s="104"/>
      <c r="F230" s="104"/>
      <c r="G230" s="104"/>
      <c r="H230" s="104"/>
      <c r="I230" s="104"/>
      <c r="J230" s="151"/>
      <c r="K230" s="104"/>
      <c r="L230" s="104"/>
      <c r="M230" s="104"/>
      <c r="N230" s="151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</row>
    <row r="231" spans="2:261" x14ac:dyDescent="0.2">
      <c r="B231" s="104"/>
      <c r="C231" s="104"/>
      <c r="D231" s="104"/>
      <c r="E231" s="104"/>
      <c r="F231" s="104"/>
      <c r="G231" s="104"/>
      <c r="H231" s="104"/>
      <c r="I231" s="104"/>
      <c r="J231" s="151"/>
      <c r="K231" s="104"/>
      <c r="L231" s="104"/>
      <c r="M231" s="104"/>
      <c r="N231" s="151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</row>
    <row r="232" spans="2:261" x14ac:dyDescent="0.2">
      <c r="B232" s="104"/>
      <c r="C232" s="104"/>
      <c r="D232" s="104"/>
      <c r="E232" s="104"/>
      <c r="F232" s="104"/>
      <c r="G232" s="104"/>
      <c r="H232" s="104"/>
      <c r="I232" s="104"/>
      <c r="J232" s="151"/>
      <c r="K232" s="104"/>
      <c r="L232" s="104"/>
      <c r="M232" s="104"/>
      <c r="N232" s="151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</row>
    <row r="233" spans="2:261" x14ac:dyDescent="0.2">
      <c r="B233" s="104"/>
      <c r="C233" s="104"/>
      <c r="D233" s="104"/>
      <c r="E233" s="104"/>
      <c r="F233" s="104"/>
      <c r="G233" s="104"/>
      <c r="H233" s="104"/>
      <c r="I233" s="104"/>
      <c r="J233" s="151"/>
      <c r="K233" s="104"/>
      <c r="L233" s="104"/>
      <c r="M233" s="104"/>
      <c r="N233" s="151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</row>
    <row r="234" spans="2:261" x14ac:dyDescent="0.2">
      <c r="B234" s="104"/>
      <c r="C234" s="104"/>
      <c r="D234" s="104"/>
      <c r="E234" s="104"/>
      <c r="F234" s="104"/>
      <c r="G234" s="104"/>
      <c r="H234" s="104"/>
      <c r="I234" s="104"/>
      <c r="J234" s="151"/>
      <c r="K234" s="104"/>
      <c r="L234" s="104"/>
      <c r="M234" s="104"/>
      <c r="N234" s="151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</row>
    <row r="235" spans="2:261" x14ac:dyDescent="0.2">
      <c r="B235" s="104"/>
      <c r="C235" s="104"/>
      <c r="D235" s="104"/>
      <c r="E235" s="104"/>
      <c r="F235" s="104"/>
      <c r="G235" s="104"/>
      <c r="H235" s="104"/>
      <c r="I235" s="104"/>
      <c r="J235" s="151"/>
      <c r="K235" s="104"/>
      <c r="L235" s="104"/>
      <c r="M235" s="104"/>
      <c r="N235" s="151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</row>
    <row r="236" spans="2:261" x14ac:dyDescent="0.2">
      <c r="B236" s="104"/>
      <c r="C236" s="104"/>
      <c r="D236" s="104"/>
      <c r="E236" s="104"/>
      <c r="F236" s="104"/>
      <c r="G236" s="104"/>
      <c r="H236" s="104"/>
      <c r="I236" s="104"/>
      <c r="J236" s="151"/>
      <c r="K236" s="104"/>
      <c r="L236" s="104"/>
      <c r="M236" s="104"/>
      <c r="N236" s="151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</row>
    <row r="237" spans="2:261" x14ac:dyDescent="0.2">
      <c r="B237" s="104"/>
      <c r="C237" s="104"/>
      <c r="D237" s="104"/>
      <c r="E237" s="104"/>
      <c r="F237" s="104"/>
      <c r="G237" s="104"/>
      <c r="H237" s="104"/>
      <c r="I237" s="104"/>
      <c r="J237" s="151"/>
      <c r="K237" s="104"/>
      <c r="L237" s="104"/>
      <c r="M237" s="104"/>
      <c r="N237" s="151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</row>
    <row r="238" spans="2:261" x14ac:dyDescent="0.2">
      <c r="B238" s="104"/>
      <c r="C238" s="104"/>
      <c r="D238" s="104"/>
      <c r="E238" s="104"/>
      <c r="F238" s="104"/>
      <c r="G238" s="104"/>
      <c r="H238" s="104"/>
      <c r="I238" s="104"/>
      <c r="J238" s="151"/>
      <c r="K238" s="104"/>
      <c r="L238" s="104"/>
      <c r="M238" s="104"/>
      <c r="N238" s="151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</row>
    <row r="239" spans="2:261" x14ac:dyDescent="0.2">
      <c r="B239" s="104"/>
      <c r="C239" s="104"/>
      <c r="D239" s="104"/>
      <c r="E239" s="104"/>
      <c r="F239" s="104"/>
      <c r="G239" s="104"/>
      <c r="H239" s="104"/>
      <c r="I239" s="104"/>
      <c r="J239" s="151"/>
      <c r="K239" s="104"/>
      <c r="L239" s="104"/>
      <c r="M239" s="104"/>
      <c r="N239" s="151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</row>
    <row r="240" spans="2:261" x14ac:dyDescent="0.2">
      <c r="B240" s="104"/>
      <c r="C240" s="104"/>
      <c r="D240" s="104"/>
      <c r="E240" s="104"/>
      <c r="F240" s="104"/>
      <c r="G240" s="104"/>
      <c r="H240" s="104"/>
      <c r="I240" s="104"/>
      <c r="J240" s="151"/>
      <c r="K240" s="104"/>
      <c r="L240" s="104"/>
      <c r="M240" s="104"/>
      <c r="N240" s="151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</row>
    <row r="241" spans="2:261" x14ac:dyDescent="0.2">
      <c r="B241" s="104"/>
      <c r="C241" s="104"/>
      <c r="D241" s="104"/>
      <c r="E241" s="104"/>
      <c r="F241" s="104"/>
      <c r="G241" s="104"/>
      <c r="H241" s="104"/>
      <c r="I241" s="104"/>
      <c r="J241" s="151"/>
      <c r="K241" s="104"/>
      <c r="L241" s="104"/>
      <c r="M241" s="104"/>
      <c r="N241" s="151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</row>
    <row r="242" spans="2:261" x14ac:dyDescent="0.2">
      <c r="B242" s="104"/>
      <c r="C242" s="104"/>
      <c r="D242" s="104"/>
      <c r="E242" s="104"/>
      <c r="F242" s="104"/>
      <c r="G242" s="104"/>
      <c r="H242" s="104"/>
      <c r="I242" s="104"/>
      <c r="J242" s="151"/>
      <c r="K242" s="104"/>
      <c r="L242" s="104"/>
      <c r="M242" s="104"/>
      <c r="N242" s="151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</row>
    <row r="243" spans="2:261" x14ac:dyDescent="0.2">
      <c r="B243" s="104"/>
      <c r="C243" s="104"/>
      <c r="D243" s="104"/>
      <c r="E243" s="104"/>
      <c r="F243" s="104"/>
      <c r="G243" s="104"/>
      <c r="H243" s="104"/>
      <c r="I243" s="104"/>
      <c r="J243" s="151"/>
      <c r="K243" s="104"/>
      <c r="L243" s="104"/>
      <c r="M243" s="104"/>
      <c r="N243" s="151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</row>
    <row r="244" spans="2:261" x14ac:dyDescent="0.2">
      <c r="B244" s="104"/>
      <c r="C244" s="104"/>
      <c r="D244" s="104"/>
      <c r="E244" s="104"/>
      <c r="F244" s="104"/>
      <c r="G244" s="104"/>
      <c r="H244" s="104"/>
      <c r="I244" s="104"/>
      <c r="J244" s="151"/>
      <c r="K244" s="104"/>
      <c r="L244" s="104"/>
      <c r="M244" s="104"/>
      <c r="N244" s="151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</row>
    <row r="245" spans="2:261" x14ac:dyDescent="0.2">
      <c r="B245" s="104"/>
      <c r="C245" s="104"/>
      <c r="D245" s="104"/>
      <c r="E245" s="104"/>
      <c r="F245" s="104"/>
      <c r="G245" s="104"/>
      <c r="H245" s="104"/>
      <c r="I245" s="104"/>
      <c r="J245" s="151"/>
      <c r="K245" s="104"/>
      <c r="L245" s="104"/>
      <c r="M245" s="104"/>
      <c r="N245" s="151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</row>
    <row r="246" spans="2:261" x14ac:dyDescent="0.2">
      <c r="B246" s="104"/>
      <c r="C246" s="104"/>
      <c r="D246" s="104"/>
      <c r="E246" s="104"/>
      <c r="F246" s="104"/>
      <c r="G246" s="104"/>
      <c r="H246" s="104"/>
      <c r="I246" s="104"/>
      <c r="J246" s="151"/>
      <c r="K246" s="104"/>
      <c r="L246" s="104"/>
      <c r="M246" s="104"/>
      <c r="N246" s="151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</row>
    <row r="247" spans="2:261" x14ac:dyDescent="0.2">
      <c r="B247" s="104"/>
      <c r="C247" s="104"/>
      <c r="D247" s="104"/>
      <c r="E247" s="104"/>
      <c r="F247" s="104"/>
      <c r="G247" s="104"/>
      <c r="H247" s="104"/>
      <c r="I247" s="104"/>
      <c r="J247" s="151"/>
      <c r="K247" s="104"/>
      <c r="L247" s="104"/>
      <c r="M247" s="104"/>
      <c r="N247" s="151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</row>
    <row r="248" spans="2:261" x14ac:dyDescent="0.2">
      <c r="B248" s="104"/>
      <c r="C248" s="104"/>
      <c r="D248" s="104"/>
      <c r="E248" s="104"/>
      <c r="F248" s="104"/>
      <c r="G248" s="104"/>
      <c r="H248" s="104"/>
      <c r="I248" s="104"/>
      <c r="J248" s="151"/>
      <c r="K248" s="104"/>
      <c r="L248" s="104"/>
      <c r="M248" s="104"/>
      <c r="N248" s="151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</row>
    <row r="249" spans="2:261" x14ac:dyDescent="0.2">
      <c r="B249" s="104"/>
      <c r="C249" s="104"/>
      <c r="D249" s="104"/>
      <c r="E249" s="104"/>
      <c r="F249" s="104"/>
      <c r="G249" s="104"/>
      <c r="H249" s="104"/>
      <c r="I249" s="104"/>
      <c r="J249" s="151"/>
      <c r="K249" s="104"/>
      <c r="L249" s="104"/>
      <c r="M249" s="104"/>
      <c r="N249" s="151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</row>
    <row r="250" spans="2:261" x14ac:dyDescent="0.2">
      <c r="B250" s="104"/>
      <c r="C250" s="104"/>
      <c r="D250" s="104"/>
      <c r="E250" s="104"/>
      <c r="F250" s="104"/>
      <c r="G250" s="104"/>
      <c r="H250" s="104"/>
      <c r="I250" s="104"/>
      <c r="J250" s="151"/>
      <c r="K250" s="104"/>
      <c r="L250" s="104"/>
      <c r="M250" s="104"/>
      <c r="N250" s="151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</row>
    <row r="251" spans="2:261" x14ac:dyDescent="0.2">
      <c r="B251" s="104"/>
      <c r="C251" s="104"/>
      <c r="D251" s="104"/>
      <c r="E251" s="104"/>
      <c r="F251" s="104"/>
      <c r="G251" s="104"/>
      <c r="H251" s="104"/>
      <c r="I251" s="104"/>
      <c r="J251" s="151"/>
      <c r="K251" s="104"/>
      <c r="L251" s="104"/>
      <c r="M251" s="104"/>
      <c r="N251" s="151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</row>
    <row r="252" spans="2:261" x14ac:dyDescent="0.2">
      <c r="B252" s="104"/>
      <c r="C252" s="104"/>
      <c r="D252" s="104"/>
      <c r="E252" s="104"/>
      <c r="F252" s="104"/>
      <c r="G252" s="104"/>
      <c r="H252" s="104"/>
      <c r="I252" s="104"/>
      <c r="J252" s="151"/>
      <c r="K252" s="104"/>
      <c r="L252" s="104"/>
      <c r="M252" s="104"/>
      <c r="N252" s="151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</row>
    <row r="253" spans="2:261" x14ac:dyDescent="0.2">
      <c r="B253" s="104"/>
      <c r="C253" s="104"/>
      <c r="D253" s="104"/>
      <c r="E253" s="104"/>
      <c r="F253" s="104"/>
      <c r="G253" s="104"/>
      <c r="H253" s="104"/>
      <c r="I253" s="104"/>
      <c r="J253" s="151"/>
      <c r="K253" s="104"/>
      <c r="L253" s="104"/>
      <c r="M253" s="104"/>
      <c r="N253" s="151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</row>
    <row r="254" spans="2:261" x14ac:dyDescent="0.2">
      <c r="B254" s="104"/>
      <c r="C254" s="104"/>
      <c r="D254" s="104"/>
      <c r="E254" s="104"/>
      <c r="F254" s="104"/>
      <c r="G254" s="104"/>
      <c r="H254" s="104"/>
      <c r="I254" s="104"/>
      <c r="J254" s="151"/>
      <c r="K254" s="104"/>
      <c r="L254" s="104"/>
      <c r="M254" s="104"/>
      <c r="N254" s="151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</row>
    <row r="255" spans="2:261" x14ac:dyDescent="0.2">
      <c r="B255" s="104"/>
      <c r="C255" s="104"/>
      <c r="D255" s="104"/>
      <c r="E255" s="104"/>
      <c r="F255" s="104"/>
      <c r="G255" s="104"/>
      <c r="H255" s="104"/>
      <c r="I255" s="104"/>
      <c r="J255" s="151"/>
      <c r="K255" s="104"/>
      <c r="L255" s="104"/>
      <c r="M255" s="104"/>
      <c r="N255" s="151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</row>
    <row r="256" spans="2:261" x14ac:dyDescent="0.2">
      <c r="B256" s="104"/>
      <c r="C256" s="104"/>
      <c r="D256" s="104"/>
      <c r="E256" s="104"/>
      <c r="F256" s="104"/>
      <c r="G256" s="104"/>
      <c r="H256" s="104"/>
      <c r="I256" s="104"/>
      <c r="J256" s="151"/>
      <c r="K256" s="104"/>
      <c r="L256" s="104"/>
      <c r="M256" s="104"/>
      <c r="N256" s="151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</row>
    <row r="257" spans="2:261" x14ac:dyDescent="0.2">
      <c r="B257" s="104"/>
      <c r="C257" s="104"/>
      <c r="D257" s="104"/>
      <c r="E257" s="104"/>
      <c r="F257" s="104"/>
      <c r="G257" s="104"/>
      <c r="H257" s="104"/>
      <c r="I257" s="104"/>
      <c r="J257" s="151"/>
      <c r="K257" s="104"/>
      <c r="L257" s="104"/>
      <c r="M257" s="104"/>
      <c r="N257" s="151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</row>
    <row r="258" spans="2:261" x14ac:dyDescent="0.2">
      <c r="B258" s="104"/>
      <c r="C258" s="104"/>
      <c r="D258" s="104"/>
      <c r="E258" s="104"/>
      <c r="F258" s="104"/>
      <c r="G258" s="104"/>
      <c r="H258" s="104"/>
      <c r="I258" s="104"/>
      <c r="J258" s="151"/>
      <c r="K258" s="104"/>
      <c r="L258" s="104"/>
      <c r="M258" s="104"/>
      <c r="N258" s="151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</row>
    <row r="259" spans="2:261" x14ac:dyDescent="0.2">
      <c r="B259" s="104"/>
      <c r="C259" s="104"/>
      <c r="D259" s="104"/>
      <c r="E259" s="104"/>
      <c r="F259" s="104"/>
      <c r="G259" s="104"/>
      <c r="H259" s="104"/>
      <c r="I259" s="104"/>
      <c r="J259" s="151"/>
      <c r="K259" s="104"/>
      <c r="L259" s="104"/>
      <c r="M259" s="104"/>
      <c r="N259" s="151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</row>
    <row r="260" spans="2:261" x14ac:dyDescent="0.2">
      <c r="B260" s="104"/>
      <c r="C260" s="104"/>
      <c r="D260" s="104"/>
      <c r="E260" s="104"/>
      <c r="F260" s="104"/>
      <c r="G260" s="104"/>
      <c r="H260" s="104"/>
      <c r="I260" s="104"/>
      <c r="J260" s="151"/>
      <c r="K260" s="104"/>
      <c r="L260" s="104"/>
      <c r="M260" s="104"/>
      <c r="N260" s="151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</row>
    <row r="261" spans="2:261" x14ac:dyDescent="0.2">
      <c r="B261" s="104"/>
      <c r="C261" s="104"/>
      <c r="D261" s="104"/>
      <c r="E261" s="104"/>
      <c r="F261" s="104"/>
      <c r="G261" s="104"/>
      <c r="H261" s="104"/>
      <c r="I261" s="104"/>
      <c r="J261" s="151"/>
      <c r="K261" s="104"/>
      <c r="L261" s="104"/>
      <c r="M261" s="104"/>
      <c r="N261" s="151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  <c r="HO261" s="104"/>
      <c r="HP261" s="104"/>
      <c r="HQ261" s="104"/>
      <c r="HR261" s="104"/>
      <c r="HS261" s="104"/>
      <c r="HT261" s="104"/>
      <c r="HU261" s="104"/>
      <c r="HV261" s="104"/>
      <c r="HW261" s="104"/>
      <c r="HX261" s="104"/>
      <c r="HY261" s="104"/>
      <c r="HZ261" s="104"/>
      <c r="IA261" s="104"/>
      <c r="IB261" s="104"/>
      <c r="IC261" s="104"/>
      <c r="ID261" s="104"/>
      <c r="IE261" s="104"/>
      <c r="IF261" s="104"/>
      <c r="IG261" s="104"/>
      <c r="IH261" s="104"/>
      <c r="II261" s="104"/>
      <c r="IJ261" s="104"/>
      <c r="IK261" s="104"/>
      <c r="IL261" s="104"/>
      <c r="IM261" s="104"/>
      <c r="IN261" s="104"/>
      <c r="IO261" s="104"/>
      <c r="IP261" s="104"/>
      <c r="IQ261" s="104"/>
      <c r="IR261" s="104"/>
      <c r="IS261" s="104"/>
      <c r="IT261" s="104"/>
      <c r="IU261" s="104"/>
      <c r="IV261" s="104"/>
      <c r="IW261" s="104"/>
      <c r="IX261" s="104"/>
      <c r="IY261" s="104"/>
      <c r="IZ261" s="104"/>
      <c r="JA261" s="104"/>
    </row>
    <row r="262" spans="2:261" x14ac:dyDescent="0.2">
      <c r="B262" s="104"/>
      <c r="C262" s="104"/>
      <c r="D262" s="104"/>
      <c r="E262" s="104"/>
      <c r="F262" s="104"/>
      <c r="G262" s="104"/>
      <c r="H262" s="104"/>
      <c r="I262" s="104"/>
      <c r="J262" s="151"/>
      <c r="K262" s="104"/>
      <c r="L262" s="104"/>
      <c r="M262" s="104"/>
      <c r="N262" s="151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  <c r="IW262" s="104"/>
      <c r="IX262" s="104"/>
      <c r="IY262" s="104"/>
      <c r="IZ262" s="104"/>
      <c r="JA262" s="104"/>
    </row>
    <row r="263" spans="2:261" x14ac:dyDescent="0.2">
      <c r="B263" s="104"/>
      <c r="C263" s="104"/>
      <c r="D263" s="104"/>
      <c r="E263" s="104"/>
      <c r="F263" s="104"/>
      <c r="G263" s="104"/>
      <c r="H263" s="104"/>
      <c r="I263" s="104"/>
      <c r="J263" s="151"/>
      <c r="K263" s="104"/>
      <c r="L263" s="104"/>
      <c r="M263" s="104"/>
      <c r="N263" s="151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  <c r="HO263" s="104"/>
      <c r="HP263" s="104"/>
      <c r="HQ263" s="104"/>
      <c r="HR263" s="104"/>
      <c r="HS263" s="104"/>
      <c r="HT263" s="104"/>
      <c r="HU263" s="104"/>
      <c r="HV263" s="104"/>
      <c r="HW263" s="104"/>
      <c r="HX263" s="104"/>
      <c r="HY263" s="104"/>
      <c r="HZ263" s="104"/>
      <c r="IA263" s="104"/>
      <c r="IB263" s="104"/>
      <c r="IC263" s="104"/>
      <c r="ID263" s="104"/>
      <c r="IE263" s="104"/>
      <c r="IF263" s="104"/>
      <c r="IG263" s="104"/>
      <c r="IH263" s="104"/>
      <c r="II263" s="104"/>
      <c r="IJ263" s="104"/>
      <c r="IK263" s="104"/>
      <c r="IL263" s="104"/>
      <c r="IM263" s="104"/>
      <c r="IN263" s="104"/>
      <c r="IO263" s="104"/>
      <c r="IP263" s="104"/>
      <c r="IQ263" s="104"/>
      <c r="IR263" s="104"/>
      <c r="IS263" s="104"/>
      <c r="IT263" s="104"/>
      <c r="IU263" s="104"/>
      <c r="IV263" s="104"/>
      <c r="IW263" s="104"/>
      <c r="IX263" s="104"/>
      <c r="IY263" s="104"/>
      <c r="IZ263" s="104"/>
      <c r="JA263" s="104"/>
    </row>
    <row r="264" spans="2:261" x14ac:dyDescent="0.2">
      <c r="B264" s="104"/>
      <c r="C264" s="104"/>
      <c r="D264" s="104"/>
      <c r="E264" s="104"/>
      <c r="F264" s="104"/>
      <c r="G264" s="104"/>
      <c r="H264" s="104"/>
      <c r="I264" s="104"/>
      <c r="J264" s="151"/>
      <c r="K264" s="104"/>
      <c r="L264" s="104"/>
      <c r="M264" s="104"/>
      <c r="N264" s="151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  <c r="IW264" s="104"/>
      <c r="IX264" s="104"/>
      <c r="IY264" s="104"/>
      <c r="IZ264" s="104"/>
      <c r="JA264" s="104"/>
    </row>
    <row r="265" spans="2:261" x14ac:dyDescent="0.2">
      <c r="B265" s="104"/>
      <c r="C265" s="104"/>
      <c r="D265" s="104"/>
      <c r="E265" s="104"/>
      <c r="F265" s="104"/>
      <c r="G265" s="104"/>
      <c r="H265" s="104"/>
      <c r="I265" s="104"/>
      <c r="J265" s="151"/>
      <c r="K265" s="104"/>
      <c r="L265" s="104"/>
      <c r="M265" s="104"/>
      <c r="N265" s="151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  <c r="IW265" s="104"/>
      <c r="IX265" s="104"/>
      <c r="IY265" s="104"/>
      <c r="IZ265" s="104"/>
      <c r="JA265" s="104"/>
    </row>
    <row r="266" spans="2:261" x14ac:dyDescent="0.2">
      <c r="B266" s="104"/>
      <c r="C266" s="104"/>
      <c r="D266" s="104"/>
      <c r="E266" s="104"/>
      <c r="F266" s="104"/>
      <c r="G266" s="104"/>
      <c r="H266" s="104"/>
      <c r="I266" s="104"/>
      <c r="J266" s="151"/>
      <c r="K266" s="104"/>
      <c r="L266" s="104"/>
      <c r="M266" s="104"/>
      <c r="N266" s="151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04"/>
      <c r="EZ266" s="104"/>
      <c r="FA266" s="104"/>
      <c r="FB266" s="104"/>
      <c r="FC266" s="104"/>
      <c r="FD266" s="104"/>
      <c r="FE266" s="104"/>
      <c r="FF266" s="104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  <c r="HO266" s="104"/>
      <c r="HP266" s="104"/>
      <c r="HQ266" s="104"/>
      <c r="HR266" s="104"/>
      <c r="HS266" s="104"/>
      <c r="HT266" s="104"/>
      <c r="HU266" s="104"/>
      <c r="HV266" s="104"/>
      <c r="HW266" s="104"/>
      <c r="HX266" s="104"/>
      <c r="HY266" s="104"/>
      <c r="HZ266" s="104"/>
      <c r="IA266" s="104"/>
      <c r="IB266" s="104"/>
      <c r="IC266" s="104"/>
      <c r="ID266" s="104"/>
      <c r="IE266" s="104"/>
      <c r="IF266" s="104"/>
      <c r="IG266" s="104"/>
      <c r="IH266" s="104"/>
      <c r="II266" s="104"/>
      <c r="IJ266" s="104"/>
      <c r="IK266" s="104"/>
      <c r="IL266" s="104"/>
      <c r="IM266" s="104"/>
      <c r="IN266" s="104"/>
      <c r="IO266" s="104"/>
      <c r="IP266" s="104"/>
      <c r="IQ266" s="104"/>
      <c r="IR266" s="104"/>
      <c r="IS266" s="104"/>
      <c r="IT266" s="104"/>
      <c r="IU266" s="104"/>
      <c r="IV266" s="104"/>
      <c r="IW266" s="104"/>
      <c r="IX266" s="104"/>
      <c r="IY266" s="104"/>
      <c r="IZ266" s="104"/>
      <c r="JA266" s="104"/>
    </row>
    <row r="267" spans="2:261" x14ac:dyDescent="0.2">
      <c r="B267" s="104"/>
      <c r="C267" s="104"/>
      <c r="D267" s="104"/>
      <c r="E267" s="104"/>
      <c r="F267" s="104"/>
      <c r="G267" s="104"/>
      <c r="H267" s="104"/>
      <c r="I267" s="104"/>
      <c r="J267" s="151"/>
      <c r="K267" s="104"/>
      <c r="L267" s="104"/>
      <c r="M267" s="104"/>
      <c r="N267" s="151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04"/>
      <c r="EZ267" s="104"/>
      <c r="FA267" s="104"/>
      <c r="FB267" s="104"/>
      <c r="FC267" s="104"/>
      <c r="FD267" s="104"/>
      <c r="FE267" s="104"/>
      <c r="FF267" s="104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  <c r="HO267" s="104"/>
      <c r="HP267" s="104"/>
      <c r="HQ267" s="104"/>
      <c r="HR267" s="104"/>
      <c r="HS267" s="104"/>
      <c r="HT267" s="104"/>
      <c r="HU267" s="104"/>
      <c r="HV267" s="104"/>
      <c r="HW267" s="104"/>
      <c r="HX267" s="104"/>
      <c r="HY267" s="104"/>
      <c r="HZ267" s="104"/>
      <c r="IA267" s="104"/>
      <c r="IB267" s="104"/>
      <c r="IC267" s="104"/>
      <c r="ID267" s="104"/>
      <c r="IE267" s="104"/>
      <c r="IF267" s="104"/>
      <c r="IG267" s="104"/>
      <c r="IH267" s="104"/>
      <c r="II267" s="104"/>
      <c r="IJ267" s="104"/>
      <c r="IK267" s="104"/>
      <c r="IL267" s="104"/>
      <c r="IM267" s="104"/>
      <c r="IN267" s="104"/>
      <c r="IO267" s="104"/>
      <c r="IP267" s="104"/>
      <c r="IQ267" s="104"/>
      <c r="IR267" s="104"/>
      <c r="IS267" s="104"/>
      <c r="IT267" s="104"/>
      <c r="IU267" s="104"/>
      <c r="IV267" s="104"/>
      <c r="IW267" s="104"/>
      <c r="IX267" s="104"/>
      <c r="IY267" s="104"/>
      <c r="IZ267" s="104"/>
      <c r="JA267" s="104"/>
    </row>
    <row r="268" spans="2:261" x14ac:dyDescent="0.2">
      <c r="B268" s="104"/>
      <c r="C268" s="104"/>
      <c r="D268" s="104"/>
      <c r="E268" s="104"/>
      <c r="F268" s="104"/>
      <c r="G268" s="104"/>
      <c r="H268" s="104"/>
      <c r="I268" s="104"/>
      <c r="J268" s="151"/>
      <c r="K268" s="104"/>
      <c r="L268" s="104"/>
      <c r="M268" s="104"/>
      <c r="N268" s="151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4"/>
      <c r="FA268" s="104"/>
      <c r="FB268" s="104"/>
      <c r="FC268" s="104"/>
      <c r="FD268" s="104"/>
      <c r="FE268" s="104"/>
      <c r="FF268" s="104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  <c r="HO268" s="104"/>
      <c r="HP268" s="104"/>
      <c r="HQ268" s="104"/>
      <c r="HR268" s="104"/>
      <c r="HS268" s="104"/>
      <c r="HT268" s="104"/>
      <c r="HU268" s="104"/>
      <c r="HV268" s="104"/>
      <c r="HW268" s="104"/>
      <c r="HX268" s="104"/>
      <c r="HY268" s="104"/>
      <c r="HZ268" s="104"/>
      <c r="IA268" s="104"/>
      <c r="IB268" s="104"/>
      <c r="IC268" s="104"/>
      <c r="ID268" s="104"/>
      <c r="IE268" s="104"/>
      <c r="IF268" s="104"/>
      <c r="IG268" s="104"/>
      <c r="IH268" s="104"/>
      <c r="II268" s="104"/>
      <c r="IJ268" s="104"/>
      <c r="IK268" s="104"/>
      <c r="IL268" s="104"/>
      <c r="IM268" s="104"/>
      <c r="IN268" s="104"/>
      <c r="IO268" s="104"/>
      <c r="IP268" s="104"/>
      <c r="IQ268" s="104"/>
      <c r="IR268" s="104"/>
      <c r="IS268" s="104"/>
      <c r="IT268" s="104"/>
      <c r="IU268" s="104"/>
      <c r="IV268" s="104"/>
      <c r="IW268" s="104"/>
      <c r="IX268" s="104"/>
      <c r="IY268" s="104"/>
      <c r="IZ268" s="104"/>
      <c r="JA268" s="104"/>
    </row>
    <row r="269" spans="2:261" x14ac:dyDescent="0.2">
      <c r="B269" s="104"/>
      <c r="C269" s="104"/>
      <c r="D269" s="104"/>
      <c r="E269" s="104"/>
      <c r="F269" s="104"/>
      <c r="G269" s="104"/>
      <c r="H269" s="104"/>
      <c r="I269" s="104"/>
      <c r="J269" s="151"/>
      <c r="K269" s="104"/>
      <c r="L269" s="104"/>
      <c r="M269" s="104"/>
      <c r="N269" s="151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  <c r="HO269" s="104"/>
      <c r="HP269" s="104"/>
      <c r="HQ269" s="104"/>
      <c r="HR269" s="104"/>
      <c r="HS269" s="104"/>
      <c r="HT269" s="104"/>
      <c r="HU269" s="104"/>
      <c r="HV269" s="104"/>
      <c r="HW269" s="104"/>
      <c r="HX269" s="104"/>
      <c r="HY269" s="104"/>
      <c r="HZ269" s="104"/>
      <c r="IA269" s="104"/>
      <c r="IB269" s="104"/>
      <c r="IC269" s="104"/>
      <c r="ID269" s="104"/>
      <c r="IE269" s="104"/>
      <c r="IF269" s="104"/>
      <c r="IG269" s="104"/>
      <c r="IH269" s="104"/>
      <c r="II269" s="104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  <c r="IW269" s="104"/>
      <c r="IX269" s="104"/>
      <c r="IY269" s="104"/>
      <c r="IZ269" s="104"/>
      <c r="JA269" s="104"/>
    </row>
    <row r="270" spans="2:261" x14ac:dyDescent="0.2">
      <c r="B270" s="104"/>
      <c r="C270" s="104"/>
      <c r="D270" s="104"/>
      <c r="E270" s="104"/>
      <c r="F270" s="104"/>
      <c r="G270" s="104"/>
      <c r="H270" s="104"/>
      <c r="I270" s="104"/>
      <c r="J270" s="151"/>
      <c r="K270" s="104"/>
      <c r="L270" s="104"/>
      <c r="M270" s="104"/>
      <c r="N270" s="151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04"/>
      <c r="EZ270" s="104"/>
      <c r="FA270" s="104"/>
      <c r="FB270" s="104"/>
      <c r="FC270" s="104"/>
      <c r="FD270" s="104"/>
      <c r="FE270" s="104"/>
      <c r="FF270" s="104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  <c r="HO270" s="104"/>
      <c r="HP270" s="104"/>
      <c r="HQ270" s="104"/>
      <c r="HR270" s="104"/>
      <c r="HS270" s="104"/>
      <c r="HT270" s="104"/>
      <c r="HU270" s="104"/>
      <c r="HV270" s="104"/>
      <c r="HW270" s="104"/>
      <c r="HX270" s="104"/>
      <c r="HY270" s="104"/>
      <c r="HZ270" s="104"/>
      <c r="IA270" s="104"/>
      <c r="IB270" s="104"/>
      <c r="IC270" s="104"/>
      <c r="ID270" s="104"/>
      <c r="IE270" s="104"/>
      <c r="IF270" s="104"/>
      <c r="IG270" s="104"/>
      <c r="IH270" s="104"/>
      <c r="II270" s="104"/>
      <c r="IJ270" s="104"/>
      <c r="IK270" s="104"/>
      <c r="IL270" s="104"/>
      <c r="IM270" s="104"/>
      <c r="IN270" s="104"/>
      <c r="IO270" s="104"/>
      <c r="IP270" s="104"/>
      <c r="IQ270" s="104"/>
      <c r="IR270" s="104"/>
      <c r="IS270" s="104"/>
      <c r="IT270" s="104"/>
      <c r="IU270" s="104"/>
      <c r="IV270" s="104"/>
      <c r="IW270" s="104"/>
      <c r="IX270" s="104"/>
      <c r="IY270" s="104"/>
      <c r="IZ270" s="104"/>
      <c r="JA270" s="104"/>
    </row>
    <row r="271" spans="2:261" x14ac:dyDescent="0.2">
      <c r="B271" s="104"/>
      <c r="C271" s="104"/>
      <c r="D271" s="104"/>
      <c r="E271" s="104"/>
      <c r="F271" s="104"/>
      <c r="G271" s="104"/>
      <c r="H271" s="104"/>
      <c r="I271" s="104"/>
      <c r="J271" s="151"/>
      <c r="K271" s="104"/>
      <c r="L271" s="104"/>
      <c r="M271" s="104"/>
      <c r="N271" s="151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  <c r="HO271" s="104"/>
      <c r="HP271" s="104"/>
      <c r="HQ271" s="104"/>
      <c r="HR271" s="104"/>
      <c r="HS271" s="104"/>
      <c r="HT271" s="104"/>
      <c r="HU271" s="104"/>
      <c r="HV271" s="104"/>
      <c r="HW271" s="104"/>
      <c r="HX271" s="104"/>
      <c r="HY271" s="104"/>
      <c r="HZ271" s="104"/>
      <c r="IA271" s="104"/>
      <c r="IB271" s="104"/>
      <c r="IC271" s="104"/>
      <c r="ID271" s="104"/>
      <c r="IE271" s="104"/>
      <c r="IF271" s="104"/>
      <c r="IG271" s="104"/>
      <c r="IH271" s="104"/>
      <c r="II271" s="104"/>
      <c r="IJ271" s="104"/>
      <c r="IK271" s="104"/>
      <c r="IL271" s="104"/>
      <c r="IM271" s="104"/>
      <c r="IN271" s="104"/>
      <c r="IO271" s="104"/>
      <c r="IP271" s="104"/>
      <c r="IQ271" s="104"/>
      <c r="IR271" s="104"/>
      <c r="IS271" s="104"/>
      <c r="IT271" s="104"/>
      <c r="IU271" s="104"/>
      <c r="IV271" s="104"/>
      <c r="IW271" s="104"/>
      <c r="IX271" s="104"/>
      <c r="IY271" s="104"/>
      <c r="IZ271" s="104"/>
      <c r="JA271" s="104"/>
    </row>
    <row r="272" spans="2:261" x14ac:dyDescent="0.2">
      <c r="B272" s="104"/>
      <c r="C272" s="104"/>
      <c r="D272" s="104"/>
      <c r="E272" s="104"/>
      <c r="F272" s="104"/>
      <c r="G272" s="104"/>
      <c r="H272" s="104"/>
      <c r="I272" s="104"/>
      <c r="J272" s="151"/>
      <c r="K272" s="104"/>
      <c r="L272" s="104"/>
      <c r="M272" s="104"/>
      <c r="N272" s="151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  <c r="IW272" s="104"/>
      <c r="IX272" s="104"/>
      <c r="IY272" s="104"/>
      <c r="IZ272" s="104"/>
      <c r="JA272" s="104"/>
    </row>
    <row r="273" spans="2:261" x14ac:dyDescent="0.2">
      <c r="B273" s="104"/>
      <c r="C273" s="104"/>
      <c r="D273" s="104"/>
      <c r="E273" s="104"/>
      <c r="F273" s="104"/>
      <c r="G273" s="104"/>
      <c r="H273" s="104"/>
      <c r="I273" s="104"/>
      <c r="J273" s="151"/>
      <c r="K273" s="104"/>
      <c r="L273" s="104"/>
      <c r="M273" s="104"/>
      <c r="N273" s="151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  <c r="HO273" s="104"/>
      <c r="HP273" s="104"/>
      <c r="HQ273" s="104"/>
      <c r="HR273" s="104"/>
      <c r="HS273" s="104"/>
      <c r="HT273" s="104"/>
      <c r="HU273" s="104"/>
      <c r="HV273" s="104"/>
      <c r="HW273" s="104"/>
      <c r="HX273" s="104"/>
      <c r="HY273" s="104"/>
      <c r="HZ273" s="104"/>
      <c r="IA273" s="104"/>
      <c r="IB273" s="104"/>
      <c r="IC273" s="104"/>
      <c r="ID273" s="104"/>
      <c r="IE273" s="104"/>
      <c r="IF273" s="104"/>
      <c r="IG273" s="104"/>
      <c r="IH273" s="104"/>
      <c r="II273" s="104"/>
      <c r="IJ273" s="104"/>
      <c r="IK273" s="104"/>
      <c r="IL273" s="104"/>
      <c r="IM273" s="104"/>
      <c r="IN273" s="104"/>
      <c r="IO273" s="104"/>
      <c r="IP273" s="104"/>
      <c r="IQ273" s="104"/>
      <c r="IR273" s="104"/>
      <c r="IS273" s="104"/>
      <c r="IT273" s="104"/>
      <c r="IU273" s="104"/>
      <c r="IV273" s="104"/>
      <c r="IW273" s="104"/>
      <c r="IX273" s="104"/>
      <c r="IY273" s="104"/>
      <c r="IZ273" s="104"/>
      <c r="JA273" s="104"/>
    </row>
    <row r="274" spans="2:261" x14ac:dyDescent="0.2">
      <c r="B274" s="104"/>
      <c r="C274" s="104"/>
      <c r="D274" s="104"/>
      <c r="E274" s="104"/>
      <c r="F274" s="104"/>
      <c r="G274" s="104"/>
      <c r="H274" s="104"/>
      <c r="I274" s="104"/>
      <c r="J274" s="151"/>
      <c r="K274" s="104"/>
      <c r="L274" s="104"/>
      <c r="M274" s="104"/>
      <c r="N274" s="151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04"/>
      <c r="EZ274" s="104"/>
      <c r="FA274" s="104"/>
      <c r="FB274" s="104"/>
      <c r="FC274" s="104"/>
      <c r="FD274" s="104"/>
      <c r="FE274" s="104"/>
      <c r="FF274" s="104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  <c r="HO274" s="104"/>
      <c r="HP274" s="104"/>
      <c r="HQ274" s="104"/>
      <c r="HR274" s="104"/>
      <c r="HS274" s="104"/>
      <c r="HT274" s="104"/>
      <c r="HU274" s="104"/>
      <c r="HV274" s="104"/>
      <c r="HW274" s="104"/>
      <c r="HX274" s="104"/>
      <c r="HY274" s="104"/>
      <c r="HZ274" s="104"/>
      <c r="IA274" s="104"/>
      <c r="IB274" s="104"/>
      <c r="IC274" s="104"/>
      <c r="ID274" s="104"/>
      <c r="IE274" s="104"/>
      <c r="IF274" s="104"/>
      <c r="IG274" s="104"/>
      <c r="IH274" s="104"/>
      <c r="II274" s="104"/>
      <c r="IJ274" s="104"/>
      <c r="IK274" s="104"/>
      <c r="IL274" s="104"/>
      <c r="IM274" s="104"/>
      <c r="IN274" s="104"/>
      <c r="IO274" s="104"/>
      <c r="IP274" s="104"/>
      <c r="IQ274" s="104"/>
      <c r="IR274" s="104"/>
      <c r="IS274" s="104"/>
      <c r="IT274" s="104"/>
      <c r="IU274" s="104"/>
      <c r="IV274" s="104"/>
      <c r="IW274" s="104"/>
      <c r="IX274" s="104"/>
      <c r="IY274" s="104"/>
      <c r="IZ274" s="104"/>
      <c r="JA274" s="104"/>
    </row>
    <row r="275" spans="2:261" x14ac:dyDescent="0.2">
      <c r="B275" s="104"/>
      <c r="C275" s="104"/>
      <c r="D275" s="104"/>
      <c r="E275" s="104"/>
      <c r="F275" s="104"/>
      <c r="G275" s="104"/>
      <c r="H275" s="104"/>
      <c r="I275" s="104"/>
      <c r="J275" s="151"/>
      <c r="K275" s="104"/>
      <c r="L275" s="104"/>
      <c r="M275" s="104"/>
      <c r="N275" s="151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04"/>
      <c r="EZ275" s="104"/>
      <c r="FA275" s="104"/>
      <c r="FB275" s="104"/>
      <c r="FC275" s="104"/>
      <c r="FD275" s="104"/>
      <c r="FE275" s="104"/>
      <c r="FF275" s="104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  <c r="HO275" s="104"/>
      <c r="HP275" s="104"/>
      <c r="HQ275" s="104"/>
      <c r="HR275" s="104"/>
      <c r="HS275" s="104"/>
      <c r="HT275" s="104"/>
      <c r="HU275" s="104"/>
      <c r="HV275" s="104"/>
      <c r="HW275" s="104"/>
      <c r="HX275" s="104"/>
      <c r="HY275" s="104"/>
      <c r="HZ275" s="104"/>
      <c r="IA275" s="104"/>
      <c r="IB275" s="104"/>
      <c r="IC275" s="104"/>
      <c r="ID275" s="104"/>
      <c r="IE275" s="104"/>
      <c r="IF275" s="104"/>
      <c r="IG275" s="104"/>
      <c r="IH275" s="104"/>
      <c r="II275" s="104"/>
      <c r="IJ275" s="104"/>
      <c r="IK275" s="104"/>
      <c r="IL275" s="104"/>
      <c r="IM275" s="104"/>
      <c r="IN275" s="104"/>
      <c r="IO275" s="104"/>
      <c r="IP275" s="104"/>
      <c r="IQ275" s="104"/>
      <c r="IR275" s="104"/>
      <c r="IS275" s="104"/>
      <c r="IT275" s="104"/>
      <c r="IU275" s="104"/>
      <c r="IV275" s="104"/>
      <c r="IW275" s="104"/>
      <c r="IX275" s="104"/>
      <c r="IY275" s="104"/>
      <c r="IZ275" s="104"/>
      <c r="JA275" s="104"/>
    </row>
    <row r="276" spans="2:261" x14ac:dyDescent="0.2">
      <c r="B276" s="104"/>
      <c r="C276" s="104"/>
      <c r="D276" s="104"/>
      <c r="E276" s="104"/>
      <c r="F276" s="104"/>
      <c r="G276" s="104"/>
      <c r="H276" s="104"/>
      <c r="I276" s="104"/>
      <c r="J276" s="151"/>
      <c r="K276" s="104"/>
      <c r="L276" s="104"/>
      <c r="M276" s="104"/>
      <c r="N276" s="151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4"/>
      <c r="FA276" s="104"/>
      <c r="FB276" s="104"/>
      <c r="FC276" s="104"/>
      <c r="FD276" s="104"/>
      <c r="FE276" s="104"/>
      <c r="FF276" s="104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  <c r="HO276" s="104"/>
      <c r="HP276" s="104"/>
      <c r="HQ276" s="104"/>
      <c r="HR276" s="104"/>
      <c r="HS276" s="104"/>
      <c r="HT276" s="104"/>
      <c r="HU276" s="104"/>
      <c r="HV276" s="104"/>
      <c r="HW276" s="104"/>
      <c r="HX276" s="104"/>
      <c r="HY276" s="104"/>
      <c r="HZ276" s="104"/>
      <c r="IA276" s="104"/>
      <c r="IB276" s="104"/>
      <c r="IC276" s="104"/>
      <c r="ID276" s="104"/>
      <c r="IE276" s="104"/>
      <c r="IF276" s="104"/>
      <c r="IG276" s="104"/>
      <c r="IH276" s="104"/>
      <c r="II276" s="104"/>
      <c r="IJ276" s="104"/>
      <c r="IK276" s="104"/>
      <c r="IL276" s="104"/>
      <c r="IM276" s="104"/>
      <c r="IN276" s="104"/>
      <c r="IO276" s="104"/>
      <c r="IP276" s="104"/>
      <c r="IQ276" s="104"/>
      <c r="IR276" s="104"/>
      <c r="IS276" s="104"/>
      <c r="IT276" s="104"/>
      <c r="IU276" s="104"/>
      <c r="IV276" s="104"/>
      <c r="IW276" s="104"/>
      <c r="IX276" s="104"/>
      <c r="IY276" s="104"/>
      <c r="IZ276" s="104"/>
      <c r="JA276" s="104"/>
    </row>
    <row r="277" spans="2:261" x14ac:dyDescent="0.2">
      <c r="B277" s="104"/>
      <c r="C277" s="104"/>
      <c r="D277" s="104"/>
      <c r="E277" s="104"/>
      <c r="F277" s="104"/>
      <c r="G277" s="104"/>
      <c r="H277" s="104"/>
      <c r="I277" s="104"/>
      <c r="J277" s="151"/>
      <c r="K277" s="104"/>
      <c r="L277" s="104"/>
      <c r="M277" s="104"/>
      <c r="N277" s="151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  <c r="IW277" s="104"/>
      <c r="IX277" s="104"/>
      <c r="IY277" s="104"/>
      <c r="IZ277" s="104"/>
      <c r="JA277" s="104"/>
    </row>
    <row r="278" spans="2:261" x14ac:dyDescent="0.2">
      <c r="B278" s="104"/>
      <c r="C278" s="104"/>
      <c r="D278" s="104"/>
      <c r="E278" s="104"/>
      <c r="F278" s="104"/>
      <c r="G278" s="104"/>
      <c r="H278" s="104"/>
      <c r="I278" s="104"/>
      <c r="J278" s="151"/>
      <c r="K278" s="104"/>
      <c r="L278" s="104"/>
      <c r="M278" s="104"/>
      <c r="N278" s="151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04"/>
      <c r="EZ278" s="104"/>
      <c r="FA278" s="104"/>
      <c r="FB278" s="104"/>
      <c r="FC278" s="104"/>
      <c r="FD278" s="104"/>
      <c r="FE278" s="104"/>
      <c r="FF278" s="104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  <c r="HO278" s="104"/>
      <c r="HP278" s="104"/>
      <c r="HQ278" s="104"/>
      <c r="HR278" s="104"/>
      <c r="HS278" s="104"/>
      <c r="HT278" s="104"/>
      <c r="HU278" s="104"/>
      <c r="HV278" s="104"/>
      <c r="HW278" s="104"/>
      <c r="HX278" s="104"/>
      <c r="HY278" s="104"/>
      <c r="HZ278" s="104"/>
      <c r="IA278" s="104"/>
      <c r="IB278" s="104"/>
      <c r="IC278" s="104"/>
      <c r="ID278" s="104"/>
      <c r="IE278" s="104"/>
      <c r="IF278" s="104"/>
      <c r="IG278" s="104"/>
      <c r="IH278" s="104"/>
      <c r="II278" s="104"/>
      <c r="IJ278" s="104"/>
      <c r="IK278" s="104"/>
      <c r="IL278" s="104"/>
      <c r="IM278" s="104"/>
      <c r="IN278" s="104"/>
      <c r="IO278" s="104"/>
      <c r="IP278" s="104"/>
      <c r="IQ278" s="104"/>
      <c r="IR278" s="104"/>
      <c r="IS278" s="104"/>
      <c r="IT278" s="104"/>
      <c r="IU278" s="104"/>
      <c r="IV278" s="104"/>
      <c r="IW278" s="104"/>
      <c r="IX278" s="104"/>
      <c r="IY278" s="104"/>
      <c r="IZ278" s="104"/>
      <c r="JA278" s="104"/>
    </row>
    <row r="279" spans="2:261" x14ac:dyDescent="0.2">
      <c r="B279" s="104"/>
      <c r="C279" s="104"/>
      <c r="D279" s="104"/>
      <c r="E279" s="104"/>
      <c r="F279" s="104"/>
      <c r="G279" s="104"/>
      <c r="H279" s="104"/>
      <c r="I279" s="104"/>
      <c r="J279" s="151"/>
      <c r="K279" s="104"/>
      <c r="L279" s="104"/>
      <c r="M279" s="104"/>
      <c r="N279" s="151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04"/>
      <c r="EZ279" s="104"/>
      <c r="FA279" s="104"/>
      <c r="FB279" s="104"/>
      <c r="FC279" s="104"/>
      <c r="FD279" s="104"/>
      <c r="FE279" s="104"/>
      <c r="FF279" s="104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  <c r="HO279" s="104"/>
      <c r="HP279" s="104"/>
      <c r="HQ279" s="104"/>
      <c r="HR279" s="104"/>
      <c r="HS279" s="104"/>
      <c r="HT279" s="104"/>
      <c r="HU279" s="104"/>
      <c r="HV279" s="104"/>
      <c r="HW279" s="104"/>
      <c r="HX279" s="104"/>
      <c r="HY279" s="104"/>
      <c r="HZ279" s="104"/>
      <c r="IA279" s="104"/>
      <c r="IB279" s="104"/>
      <c r="IC279" s="104"/>
      <c r="ID279" s="104"/>
      <c r="IE279" s="104"/>
      <c r="IF279" s="104"/>
      <c r="IG279" s="104"/>
      <c r="IH279" s="104"/>
      <c r="II279" s="104"/>
      <c r="IJ279" s="104"/>
      <c r="IK279" s="104"/>
      <c r="IL279" s="104"/>
      <c r="IM279" s="104"/>
      <c r="IN279" s="104"/>
      <c r="IO279" s="104"/>
      <c r="IP279" s="104"/>
      <c r="IQ279" s="104"/>
      <c r="IR279" s="104"/>
      <c r="IS279" s="104"/>
      <c r="IT279" s="104"/>
      <c r="IU279" s="104"/>
      <c r="IV279" s="104"/>
      <c r="IW279" s="104"/>
      <c r="IX279" s="104"/>
      <c r="IY279" s="104"/>
      <c r="IZ279" s="104"/>
      <c r="JA279" s="104"/>
    </row>
    <row r="280" spans="2:261" x14ac:dyDescent="0.2">
      <c r="B280" s="104"/>
      <c r="C280" s="104"/>
      <c r="D280" s="104"/>
      <c r="E280" s="104"/>
      <c r="F280" s="104"/>
      <c r="G280" s="104"/>
      <c r="H280" s="104"/>
      <c r="I280" s="104"/>
      <c r="J280" s="151"/>
      <c r="K280" s="104"/>
      <c r="L280" s="104"/>
      <c r="M280" s="104"/>
      <c r="N280" s="151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4"/>
      <c r="FA280" s="104"/>
      <c r="FB280" s="104"/>
      <c r="FC280" s="104"/>
      <c r="FD280" s="104"/>
      <c r="FE280" s="104"/>
      <c r="FF280" s="104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  <c r="HO280" s="104"/>
      <c r="HP280" s="104"/>
      <c r="HQ280" s="104"/>
      <c r="HR280" s="104"/>
      <c r="HS280" s="104"/>
      <c r="HT280" s="104"/>
      <c r="HU280" s="104"/>
      <c r="HV280" s="104"/>
      <c r="HW280" s="104"/>
      <c r="HX280" s="104"/>
      <c r="HY280" s="104"/>
      <c r="HZ280" s="104"/>
      <c r="IA280" s="104"/>
      <c r="IB280" s="104"/>
      <c r="IC280" s="104"/>
      <c r="ID280" s="104"/>
      <c r="IE280" s="104"/>
      <c r="IF280" s="104"/>
      <c r="IG280" s="104"/>
      <c r="IH280" s="104"/>
      <c r="II280" s="104"/>
      <c r="IJ280" s="104"/>
      <c r="IK280" s="104"/>
      <c r="IL280" s="104"/>
      <c r="IM280" s="104"/>
      <c r="IN280" s="104"/>
      <c r="IO280" s="104"/>
      <c r="IP280" s="104"/>
      <c r="IQ280" s="104"/>
      <c r="IR280" s="104"/>
      <c r="IS280" s="104"/>
      <c r="IT280" s="104"/>
      <c r="IU280" s="104"/>
      <c r="IV280" s="104"/>
      <c r="IW280" s="104"/>
      <c r="IX280" s="104"/>
      <c r="IY280" s="104"/>
      <c r="IZ280" s="104"/>
      <c r="JA280" s="104"/>
    </row>
    <row r="281" spans="2:261" x14ac:dyDescent="0.2">
      <c r="B281" s="104"/>
      <c r="C281" s="104"/>
      <c r="D281" s="104"/>
      <c r="E281" s="104"/>
      <c r="F281" s="104"/>
      <c r="G281" s="104"/>
      <c r="H281" s="104"/>
      <c r="I281" s="104"/>
      <c r="J281" s="151"/>
      <c r="K281" s="104"/>
      <c r="L281" s="104"/>
      <c r="M281" s="104"/>
      <c r="N281" s="151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  <c r="HO281" s="104"/>
      <c r="HP281" s="104"/>
      <c r="HQ281" s="104"/>
      <c r="HR281" s="104"/>
      <c r="HS281" s="104"/>
      <c r="HT281" s="104"/>
      <c r="HU281" s="104"/>
      <c r="HV281" s="104"/>
      <c r="HW281" s="104"/>
      <c r="HX281" s="104"/>
      <c r="HY281" s="104"/>
      <c r="HZ281" s="104"/>
      <c r="IA281" s="104"/>
      <c r="IB281" s="104"/>
      <c r="IC281" s="104"/>
      <c r="ID281" s="104"/>
      <c r="IE281" s="104"/>
      <c r="IF281" s="104"/>
      <c r="IG281" s="104"/>
      <c r="IH281" s="104"/>
      <c r="II281" s="104"/>
      <c r="IJ281" s="104"/>
      <c r="IK281" s="104"/>
      <c r="IL281" s="104"/>
      <c r="IM281" s="104"/>
      <c r="IN281" s="104"/>
      <c r="IO281" s="104"/>
      <c r="IP281" s="104"/>
      <c r="IQ281" s="104"/>
      <c r="IR281" s="104"/>
      <c r="IS281" s="104"/>
      <c r="IT281" s="104"/>
      <c r="IU281" s="104"/>
      <c r="IV281" s="104"/>
      <c r="IW281" s="104"/>
      <c r="IX281" s="104"/>
      <c r="IY281" s="104"/>
      <c r="IZ281" s="104"/>
      <c r="JA281" s="104"/>
    </row>
    <row r="282" spans="2:261" x14ac:dyDescent="0.2">
      <c r="B282" s="104"/>
      <c r="C282" s="104"/>
      <c r="D282" s="104"/>
      <c r="E282" s="104"/>
      <c r="F282" s="104"/>
      <c r="G282" s="104"/>
      <c r="H282" s="104"/>
      <c r="I282" s="104"/>
      <c r="J282" s="151"/>
      <c r="K282" s="104"/>
      <c r="L282" s="104"/>
      <c r="M282" s="104"/>
      <c r="N282" s="151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  <c r="FB282" s="104"/>
      <c r="FC282" s="104"/>
      <c r="FD282" s="104"/>
      <c r="FE282" s="104"/>
      <c r="FF282" s="104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  <c r="HO282" s="104"/>
      <c r="HP282" s="104"/>
      <c r="HQ282" s="104"/>
      <c r="HR282" s="104"/>
      <c r="HS282" s="104"/>
      <c r="HT282" s="104"/>
      <c r="HU282" s="104"/>
      <c r="HV282" s="104"/>
      <c r="HW282" s="104"/>
      <c r="HX282" s="104"/>
      <c r="HY282" s="104"/>
      <c r="HZ282" s="104"/>
      <c r="IA282" s="104"/>
      <c r="IB282" s="104"/>
      <c r="IC282" s="104"/>
      <c r="ID282" s="104"/>
      <c r="IE282" s="104"/>
      <c r="IF282" s="104"/>
      <c r="IG282" s="104"/>
      <c r="IH282" s="104"/>
      <c r="II282" s="104"/>
      <c r="IJ282" s="104"/>
      <c r="IK282" s="104"/>
      <c r="IL282" s="104"/>
      <c r="IM282" s="104"/>
      <c r="IN282" s="104"/>
      <c r="IO282" s="104"/>
      <c r="IP282" s="104"/>
      <c r="IQ282" s="104"/>
      <c r="IR282" s="104"/>
      <c r="IS282" s="104"/>
      <c r="IT282" s="104"/>
      <c r="IU282" s="104"/>
      <c r="IV282" s="104"/>
      <c r="IW282" s="104"/>
      <c r="IX282" s="104"/>
      <c r="IY282" s="104"/>
      <c r="IZ282" s="104"/>
      <c r="JA282" s="104"/>
    </row>
    <row r="283" spans="2:261" x14ac:dyDescent="0.2">
      <c r="B283" s="104"/>
      <c r="C283" s="104"/>
      <c r="D283" s="104"/>
      <c r="E283" s="104"/>
      <c r="F283" s="104"/>
      <c r="G283" s="104"/>
      <c r="H283" s="104"/>
      <c r="I283" s="104"/>
      <c r="J283" s="151"/>
      <c r="K283" s="104"/>
      <c r="L283" s="104"/>
      <c r="M283" s="104"/>
      <c r="N283" s="151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  <c r="HO283" s="104"/>
      <c r="HP283" s="104"/>
      <c r="HQ283" s="104"/>
      <c r="HR283" s="104"/>
      <c r="HS283" s="104"/>
      <c r="HT283" s="104"/>
      <c r="HU283" s="104"/>
      <c r="HV283" s="104"/>
      <c r="HW283" s="104"/>
      <c r="HX283" s="104"/>
      <c r="HY283" s="104"/>
      <c r="HZ283" s="104"/>
      <c r="IA283" s="104"/>
      <c r="IB283" s="104"/>
      <c r="IC283" s="104"/>
      <c r="ID283" s="104"/>
      <c r="IE283" s="104"/>
      <c r="IF283" s="104"/>
      <c r="IG283" s="104"/>
      <c r="IH283" s="104"/>
      <c r="II283" s="104"/>
      <c r="IJ283" s="104"/>
      <c r="IK283" s="104"/>
      <c r="IL283" s="104"/>
      <c r="IM283" s="104"/>
      <c r="IN283" s="104"/>
      <c r="IO283" s="104"/>
      <c r="IP283" s="104"/>
      <c r="IQ283" s="104"/>
      <c r="IR283" s="104"/>
      <c r="IS283" s="104"/>
      <c r="IT283" s="104"/>
      <c r="IU283" s="104"/>
      <c r="IV283" s="104"/>
      <c r="IW283" s="104"/>
      <c r="IX283" s="104"/>
      <c r="IY283" s="104"/>
      <c r="IZ283" s="104"/>
      <c r="JA283" s="104"/>
    </row>
    <row r="284" spans="2:261" x14ac:dyDescent="0.2">
      <c r="B284" s="104"/>
      <c r="C284" s="104"/>
      <c r="D284" s="104"/>
      <c r="E284" s="104"/>
      <c r="F284" s="104"/>
      <c r="G284" s="104"/>
      <c r="H284" s="104"/>
      <c r="I284" s="104"/>
      <c r="J284" s="151"/>
      <c r="K284" s="104"/>
      <c r="L284" s="104"/>
      <c r="M284" s="104"/>
      <c r="N284" s="151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</row>
    <row r="285" spans="2:261" x14ac:dyDescent="0.2">
      <c r="B285" s="104"/>
      <c r="C285" s="104"/>
      <c r="D285" s="104"/>
      <c r="E285" s="104"/>
      <c r="F285" s="104"/>
      <c r="G285" s="104"/>
      <c r="H285" s="104"/>
      <c r="I285" s="104"/>
      <c r="J285" s="151"/>
      <c r="K285" s="104"/>
      <c r="L285" s="104"/>
      <c r="M285" s="104"/>
      <c r="N285" s="151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</row>
    <row r="286" spans="2:261" x14ac:dyDescent="0.2">
      <c r="B286" s="104"/>
      <c r="C286" s="104"/>
      <c r="D286" s="104"/>
      <c r="E286" s="104"/>
      <c r="F286" s="104"/>
      <c r="G286" s="104"/>
      <c r="H286" s="104"/>
      <c r="I286" s="104"/>
      <c r="J286" s="151"/>
      <c r="K286" s="104"/>
      <c r="L286" s="104"/>
      <c r="M286" s="104"/>
      <c r="N286" s="151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  <c r="HO286" s="104"/>
      <c r="HP286" s="104"/>
      <c r="HQ286" s="104"/>
      <c r="HR286" s="104"/>
      <c r="HS286" s="104"/>
      <c r="HT286" s="104"/>
      <c r="HU286" s="104"/>
      <c r="HV286" s="104"/>
      <c r="HW286" s="104"/>
      <c r="HX286" s="104"/>
      <c r="HY286" s="104"/>
      <c r="HZ286" s="104"/>
      <c r="IA286" s="104"/>
      <c r="IB286" s="104"/>
      <c r="IC286" s="104"/>
      <c r="ID286" s="104"/>
      <c r="IE286" s="104"/>
      <c r="IF286" s="104"/>
      <c r="IG286" s="104"/>
      <c r="IH286" s="104"/>
      <c r="II286" s="104"/>
      <c r="IJ286" s="104"/>
      <c r="IK286" s="104"/>
      <c r="IL286" s="104"/>
      <c r="IM286" s="104"/>
      <c r="IN286" s="104"/>
      <c r="IO286" s="104"/>
      <c r="IP286" s="104"/>
      <c r="IQ286" s="104"/>
      <c r="IR286" s="104"/>
      <c r="IS286" s="104"/>
      <c r="IT286" s="104"/>
      <c r="IU286" s="104"/>
      <c r="IV286" s="104"/>
      <c r="IW286" s="104"/>
      <c r="IX286" s="104"/>
      <c r="IY286" s="104"/>
      <c r="IZ286" s="104"/>
      <c r="JA286" s="104"/>
    </row>
    <row r="287" spans="2:261" x14ac:dyDescent="0.2">
      <c r="B287" s="104"/>
      <c r="C287" s="104"/>
      <c r="D287" s="104"/>
      <c r="E287" s="104"/>
      <c r="F287" s="104"/>
      <c r="G287" s="104"/>
      <c r="H287" s="104"/>
      <c r="I287" s="104"/>
      <c r="J287" s="151"/>
      <c r="K287" s="104"/>
      <c r="L287" s="104"/>
      <c r="M287" s="104"/>
      <c r="N287" s="151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  <c r="HO287" s="104"/>
      <c r="HP287" s="104"/>
      <c r="HQ287" s="104"/>
      <c r="HR287" s="104"/>
      <c r="HS287" s="104"/>
      <c r="HT287" s="104"/>
      <c r="HU287" s="104"/>
      <c r="HV287" s="104"/>
      <c r="HW287" s="104"/>
      <c r="HX287" s="104"/>
      <c r="HY287" s="104"/>
      <c r="HZ287" s="104"/>
      <c r="IA287" s="104"/>
      <c r="IB287" s="104"/>
      <c r="IC287" s="104"/>
      <c r="ID287" s="104"/>
      <c r="IE287" s="104"/>
      <c r="IF287" s="104"/>
      <c r="IG287" s="104"/>
      <c r="IH287" s="104"/>
      <c r="II287" s="104"/>
      <c r="IJ287" s="104"/>
      <c r="IK287" s="104"/>
      <c r="IL287" s="104"/>
      <c r="IM287" s="104"/>
      <c r="IN287" s="104"/>
      <c r="IO287" s="104"/>
      <c r="IP287" s="104"/>
      <c r="IQ287" s="104"/>
      <c r="IR287" s="104"/>
      <c r="IS287" s="104"/>
      <c r="IT287" s="104"/>
      <c r="IU287" s="104"/>
      <c r="IV287" s="104"/>
      <c r="IW287" s="104"/>
      <c r="IX287" s="104"/>
      <c r="IY287" s="104"/>
      <c r="IZ287" s="104"/>
      <c r="JA287" s="104"/>
    </row>
    <row r="288" spans="2:261" x14ac:dyDescent="0.2">
      <c r="B288" s="104"/>
      <c r="C288" s="104"/>
      <c r="D288" s="104"/>
      <c r="E288" s="104"/>
      <c r="F288" s="104"/>
      <c r="G288" s="104"/>
      <c r="H288" s="104"/>
      <c r="I288" s="104"/>
      <c r="J288" s="151"/>
      <c r="K288" s="104"/>
      <c r="L288" s="104"/>
      <c r="M288" s="104"/>
      <c r="N288" s="151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  <c r="IW288" s="104"/>
      <c r="IX288" s="104"/>
      <c r="IY288" s="104"/>
      <c r="IZ288" s="104"/>
      <c r="JA288" s="104"/>
    </row>
    <row r="289" spans="2:261" x14ac:dyDescent="0.2">
      <c r="B289" s="104"/>
      <c r="C289" s="104"/>
      <c r="D289" s="104"/>
      <c r="E289" s="104"/>
      <c r="F289" s="104"/>
      <c r="G289" s="104"/>
      <c r="H289" s="104"/>
      <c r="I289" s="104"/>
      <c r="J289" s="151"/>
      <c r="K289" s="104"/>
      <c r="L289" s="104"/>
      <c r="M289" s="104"/>
      <c r="N289" s="151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  <c r="IW289" s="104"/>
      <c r="IX289" s="104"/>
      <c r="IY289" s="104"/>
      <c r="IZ289" s="104"/>
      <c r="JA289" s="104"/>
    </row>
    <row r="290" spans="2:261" x14ac:dyDescent="0.2">
      <c r="B290" s="104"/>
      <c r="C290" s="104"/>
      <c r="D290" s="104"/>
      <c r="E290" s="104"/>
      <c r="F290" s="104"/>
      <c r="G290" s="104"/>
      <c r="H290" s="104"/>
      <c r="I290" s="104"/>
      <c r="J290" s="151"/>
      <c r="K290" s="104"/>
      <c r="L290" s="104"/>
      <c r="M290" s="104"/>
      <c r="N290" s="151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  <c r="IU290" s="104"/>
      <c r="IV290" s="104"/>
      <c r="IW290" s="104"/>
      <c r="IX290" s="104"/>
      <c r="IY290" s="104"/>
      <c r="IZ290" s="104"/>
      <c r="JA290" s="104"/>
    </row>
    <row r="291" spans="2:261" x14ac:dyDescent="0.2">
      <c r="B291" s="104"/>
      <c r="C291" s="104"/>
      <c r="D291" s="104"/>
      <c r="E291" s="104"/>
      <c r="F291" s="104"/>
      <c r="G291" s="104"/>
      <c r="H291" s="104"/>
      <c r="I291" s="104"/>
      <c r="J291" s="151"/>
      <c r="K291" s="104"/>
      <c r="L291" s="104"/>
      <c r="M291" s="104"/>
      <c r="N291" s="151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  <c r="IU291" s="104"/>
      <c r="IV291" s="104"/>
      <c r="IW291" s="104"/>
      <c r="IX291" s="104"/>
      <c r="IY291" s="104"/>
      <c r="IZ291" s="104"/>
      <c r="JA291" s="104"/>
    </row>
    <row r="292" spans="2:261" x14ac:dyDescent="0.2">
      <c r="B292" s="104"/>
      <c r="C292" s="104"/>
      <c r="D292" s="104"/>
      <c r="E292" s="104"/>
      <c r="F292" s="104"/>
      <c r="G292" s="104"/>
      <c r="H292" s="104"/>
      <c r="I292" s="104"/>
      <c r="J292" s="151"/>
      <c r="K292" s="104"/>
      <c r="L292" s="104"/>
      <c r="M292" s="104"/>
      <c r="N292" s="151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  <c r="IW292" s="104"/>
      <c r="IX292" s="104"/>
      <c r="IY292" s="104"/>
      <c r="IZ292" s="104"/>
      <c r="JA292" s="104"/>
    </row>
    <row r="293" spans="2:261" x14ac:dyDescent="0.2">
      <c r="B293" s="104"/>
      <c r="C293" s="104"/>
      <c r="D293" s="104"/>
      <c r="E293" s="104"/>
      <c r="F293" s="104"/>
      <c r="G293" s="104"/>
      <c r="H293" s="104"/>
      <c r="I293" s="104"/>
      <c r="J293" s="151"/>
      <c r="K293" s="104"/>
      <c r="L293" s="104"/>
      <c r="M293" s="104"/>
      <c r="N293" s="151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  <c r="IW293" s="104"/>
      <c r="IX293" s="104"/>
      <c r="IY293" s="104"/>
      <c r="IZ293" s="104"/>
      <c r="JA293" s="104"/>
    </row>
    <row r="294" spans="2:261" x14ac:dyDescent="0.2">
      <c r="B294" s="104"/>
      <c r="C294" s="104"/>
      <c r="D294" s="104"/>
      <c r="E294" s="104"/>
      <c r="F294" s="104"/>
      <c r="G294" s="104"/>
      <c r="H294" s="104"/>
      <c r="I294" s="104"/>
      <c r="J294" s="151"/>
      <c r="K294" s="104"/>
      <c r="L294" s="104"/>
      <c r="M294" s="104"/>
      <c r="N294" s="151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  <c r="IU294" s="104"/>
      <c r="IV294" s="104"/>
      <c r="IW294" s="104"/>
      <c r="IX294" s="104"/>
      <c r="IY294" s="104"/>
      <c r="IZ294" s="104"/>
      <c r="JA294" s="104"/>
    </row>
    <row r="295" spans="2:261" x14ac:dyDescent="0.2">
      <c r="B295" s="104"/>
      <c r="C295" s="104"/>
      <c r="D295" s="104"/>
      <c r="E295" s="104"/>
      <c r="F295" s="104"/>
      <c r="G295" s="104"/>
      <c r="H295" s="104"/>
      <c r="I295" s="104"/>
      <c r="J295" s="151"/>
      <c r="K295" s="104"/>
      <c r="L295" s="104"/>
      <c r="M295" s="104"/>
      <c r="N295" s="151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  <c r="IU295" s="104"/>
      <c r="IV295" s="104"/>
      <c r="IW295" s="104"/>
      <c r="IX295" s="104"/>
      <c r="IY295" s="104"/>
      <c r="IZ295" s="104"/>
      <c r="JA295" s="104"/>
    </row>
    <row r="296" spans="2:261" x14ac:dyDescent="0.2">
      <c r="B296" s="104"/>
      <c r="C296" s="104"/>
      <c r="D296" s="104"/>
      <c r="E296" s="104"/>
      <c r="F296" s="104"/>
      <c r="G296" s="104"/>
      <c r="H296" s="104"/>
      <c r="I296" s="104"/>
      <c r="J296" s="151"/>
      <c r="K296" s="104"/>
      <c r="L296" s="104"/>
      <c r="M296" s="104"/>
      <c r="N296" s="151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  <c r="IU296" s="104"/>
      <c r="IV296" s="104"/>
      <c r="IW296" s="104"/>
      <c r="IX296" s="104"/>
      <c r="IY296" s="104"/>
      <c r="IZ296" s="104"/>
      <c r="JA296" s="104"/>
    </row>
    <row r="297" spans="2:261" x14ac:dyDescent="0.2">
      <c r="B297" s="104"/>
      <c r="C297" s="104"/>
      <c r="D297" s="104"/>
      <c r="E297" s="104"/>
      <c r="F297" s="104"/>
      <c r="G297" s="104"/>
      <c r="H297" s="104"/>
      <c r="I297" s="104"/>
      <c r="J297" s="151"/>
      <c r="K297" s="104"/>
      <c r="L297" s="104"/>
      <c r="M297" s="104"/>
      <c r="N297" s="151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  <c r="IU297" s="104"/>
      <c r="IV297" s="104"/>
      <c r="IW297" s="104"/>
      <c r="IX297" s="104"/>
      <c r="IY297" s="104"/>
      <c r="IZ297" s="104"/>
      <c r="JA297" s="104"/>
    </row>
    <row r="298" spans="2:261" x14ac:dyDescent="0.2">
      <c r="B298" s="104"/>
      <c r="C298" s="104"/>
      <c r="D298" s="104"/>
      <c r="E298" s="104"/>
      <c r="F298" s="104"/>
      <c r="G298" s="104"/>
      <c r="H298" s="104"/>
      <c r="I298" s="104"/>
      <c r="J298" s="151"/>
      <c r="K298" s="104"/>
      <c r="L298" s="104"/>
      <c r="M298" s="104"/>
      <c r="N298" s="151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  <c r="IU298" s="104"/>
      <c r="IV298" s="104"/>
      <c r="IW298" s="104"/>
      <c r="IX298" s="104"/>
      <c r="IY298" s="104"/>
      <c r="IZ298" s="104"/>
      <c r="JA298" s="104"/>
    </row>
    <row r="299" spans="2:261" x14ac:dyDescent="0.2">
      <c r="B299" s="104"/>
      <c r="C299" s="104"/>
      <c r="D299" s="104"/>
      <c r="E299" s="104"/>
      <c r="F299" s="104"/>
      <c r="G299" s="104"/>
      <c r="H299" s="104"/>
      <c r="I299" s="104"/>
      <c r="J299" s="151"/>
      <c r="K299" s="104"/>
      <c r="L299" s="104"/>
      <c r="M299" s="104"/>
      <c r="N299" s="151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  <c r="IU299" s="104"/>
      <c r="IV299" s="104"/>
      <c r="IW299" s="104"/>
      <c r="IX299" s="104"/>
      <c r="IY299" s="104"/>
      <c r="IZ299" s="104"/>
      <c r="JA299" s="104"/>
    </row>
    <row r="300" spans="2:261" x14ac:dyDescent="0.2">
      <c r="B300" s="104"/>
      <c r="C300" s="104"/>
      <c r="D300" s="104"/>
      <c r="E300" s="104"/>
      <c r="F300" s="104"/>
      <c r="G300" s="104"/>
      <c r="H300" s="104"/>
      <c r="I300" s="104"/>
      <c r="J300" s="151"/>
      <c r="K300" s="104"/>
      <c r="L300" s="104"/>
      <c r="M300" s="104"/>
      <c r="N300" s="151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  <c r="IU300" s="104"/>
      <c r="IV300" s="104"/>
      <c r="IW300" s="104"/>
      <c r="IX300" s="104"/>
      <c r="IY300" s="104"/>
      <c r="IZ300" s="104"/>
      <c r="JA300" s="104"/>
    </row>
    <row r="301" spans="2:261" x14ac:dyDescent="0.2">
      <c r="B301" s="104"/>
      <c r="C301" s="104"/>
      <c r="D301" s="104"/>
      <c r="E301" s="104"/>
      <c r="F301" s="104"/>
      <c r="G301" s="104"/>
      <c r="H301" s="104"/>
      <c r="I301" s="104"/>
      <c r="J301" s="151"/>
      <c r="K301" s="104"/>
      <c r="L301" s="104"/>
      <c r="M301" s="104"/>
      <c r="N301" s="151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  <c r="IW301" s="104"/>
      <c r="IX301" s="104"/>
      <c r="IY301" s="104"/>
      <c r="IZ301" s="104"/>
      <c r="JA301" s="104"/>
    </row>
    <row r="302" spans="2:261" x14ac:dyDescent="0.2">
      <c r="B302" s="104"/>
      <c r="C302" s="104"/>
      <c r="D302" s="104"/>
      <c r="E302" s="104"/>
      <c r="F302" s="104"/>
      <c r="G302" s="104"/>
      <c r="H302" s="104"/>
      <c r="I302" s="104"/>
      <c r="J302" s="151"/>
      <c r="K302" s="104"/>
      <c r="L302" s="104"/>
      <c r="M302" s="104"/>
      <c r="N302" s="151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  <c r="IU302" s="104"/>
      <c r="IV302" s="104"/>
      <c r="IW302" s="104"/>
      <c r="IX302" s="104"/>
      <c r="IY302" s="104"/>
      <c r="IZ302" s="104"/>
      <c r="JA302" s="104"/>
    </row>
    <row r="303" spans="2:261" x14ac:dyDescent="0.2">
      <c r="B303" s="104"/>
      <c r="C303" s="104"/>
      <c r="D303" s="104"/>
      <c r="E303" s="104"/>
      <c r="F303" s="104"/>
      <c r="G303" s="104"/>
      <c r="H303" s="104"/>
      <c r="I303" s="104"/>
      <c r="J303" s="151"/>
      <c r="K303" s="104"/>
      <c r="L303" s="104"/>
      <c r="M303" s="104"/>
      <c r="N303" s="151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  <c r="IU303" s="104"/>
      <c r="IV303" s="104"/>
      <c r="IW303" s="104"/>
      <c r="IX303" s="104"/>
      <c r="IY303" s="104"/>
      <c r="IZ303" s="104"/>
      <c r="JA303" s="104"/>
    </row>
    <row r="304" spans="2:261" x14ac:dyDescent="0.2">
      <c r="B304" s="104"/>
      <c r="C304" s="104"/>
      <c r="D304" s="104"/>
      <c r="E304" s="104"/>
      <c r="F304" s="104"/>
      <c r="G304" s="104"/>
      <c r="H304" s="104"/>
      <c r="I304" s="104"/>
      <c r="J304" s="151"/>
      <c r="K304" s="104"/>
      <c r="L304" s="104"/>
      <c r="M304" s="104"/>
      <c r="N304" s="151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  <c r="IU304" s="104"/>
      <c r="IV304" s="104"/>
      <c r="IW304" s="104"/>
      <c r="IX304" s="104"/>
      <c r="IY304" s="104"/>
      <c r="IZ304" s="104"/>
      <c r="JA304" s="104"/>
    </row>
    <row r="305" spans="2:261" x14ac:dyDescent="0.2">
      <c r="B305" s="104"/>
      <c r="C305" s="104"/>
      <c r="D305" s="104"/>
      <c r="E305" s="104"/>
      <c r="F305" s="104"/>
      <c r="G305" s="104"/>
      <c r="H305" s="104"/>
      <c r="I305" s="104"/>
      <c r="J305" s="151"/>
      <c r="K305" s="104"/>
      <c r="L305" s="104"/>
      <c r="M305" s="104"/>
      <c r="N305" s="151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  <c r="IU305" s="104"/>
      <c r="IV305" s="104"/>
      <c r="IW305" s="104"/>
      <c r="IX305" s="104"/>
      <c r="IY305" s="104"/>
      <c r="IZ305" s="104"/>
      <c r="JA305" s="104"/>
    </row>
    <row r="306" spans="2:261" x14ac:dyDescent="0.2">
      <c r="B306" s="104"/>
      <c r="C306" s="104"/>
      <c r="D306" s="104"/>
      <c r="E306" s="104"/>
      <c r="F306" s="104"/>
      <c r="G306" s="104"/>
      <c r="H306" s="104"/>
      <c r="I306" s="104"/>
      <c r="J306" s="151"/>
      <c r="K306" s="104"/>
      <c r="L306" s="104"/>
      <c r="M306" s="104"/>
      <c r="N306" s="151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  <c r="IU306" s="104"/>
      <c r="IV306" s="104"/>
      <c r="IW306" s="104"/>
      <c r="IX306" s="104"/>
      <c r="IY306" s="104"/>
      <c r="IZ306" s="104"/>
      <c r="JA306" s="104"/>
    </row>
    <row r="307" spans="2:261" x14ac:dyDescent="0.2">
      <c r="B307" s="104"/>
      <c r="C307" s="104"/>
      <c r="D307" s="104"/>
      <c r="E307" s="104"/>
      <c r="F307" s="104"/>
      <c r="G307" s="104"/>
      <c r="H307" s="104"/>
      <c r="I307" s="104"/>
      <c r="J307" s="151"/>
      <c r="K307" s="104"/>
      <c r="L307" s="104"/>
      <c r="M307" s="104"/>
      <c r="N307" s="151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  <c r="IU307" s="104"/>
      <c r="IV307" s="104"/>
      <c r="IW307" s="104"/>
      <c r="IX307" s="104"/>
      <c r="IY307" s="104"/>
      <c r="IZ307" s="104"/>
      <c r="JA307" s="104"/>
    </row>
    <row r="308" spans="2:261" x14ac:dyDescent="0.2">
      <c r="B308" s="104"/>
      <c r="C308" s="104"/>
      <c r="D308" s="104"/>
      <c r="E308" s="104"/>
      <c r="F308" s="104"/>
      <c r="G308" s="104"/>
      <c r="H308" s="104"/>
      <c r="I308" s="104"/>
      <c r="J308" s="151"/>
      <c r="K308" s="104"/>
      <c r="L308" s="104"/>
      <c r="M308" s="104"/>
      <c r="N308" s="151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  <c r="IU308" s="104"/>
      <c r="IV308" s="104"/>
      <c r="IW308" s="104"/>
      <c r="IX308" s="104"/>
      <c r="IY308" s="104"/>
      <c r="IZ308" s="104"/>
      <c r="JA308" s="104"/>
    </row>
    <row r="309" spans="2:261" x14ac:dyDescent="0.2">
      <c r="B309" s="104"/>
      <c r="C309" s="104"/>
      <c r="D309" s="104"/>
      <c r="E309" s="104"/>
      <c r="F309" s="104"/>
      <c r="G309" s="104"/>
      <c r="H309" s="104"/>
      <c r="I309" s="104"/>
      <c r="J309" s="151"/>
      <c r="K309" s="104"/>
      <c r="L309" s="104"/>
      <c r="M309" s="104"/>
      <c r="N309" s="151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  <c r="IU309" s="104"/>
      <c r="IV309" s="104"/>
      <c r="IW309" s="104"/>
      <c r="IX309" s="104"/>
      <c r="IY309" s="104"/>
      <c r="IZ309" s="104"/>
      <c r="JA309" s="104"/>
    </row>
    <row r="310" spans="2:261" x14ac:dyDescent="0.2">
      <c r="B310" s="104"/>
      <c r="C310" s="104"/>
      <c r="D310" s="104"/>
      <c r="E310" s="104"/>
      <c r="F310" s="104"/>
      <c r="G310" s="104"/>
      <c r="H310" s="104"/>
      <c r="I310" s="104"/>
      <c r="J310" s="151"/>
      <c r="K310" s="104"/>
      <c r="L310" s="104"/>
      <c r="M310" s="104"/>
      <c r="N310" s="151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  <c r="IU310" s="104"/>
      <c r="IV310" s="104"/>
      <c r="IW310" s="104"/>
      <c r="IX310" s="104"/>
      <c r="IY310" s="104"/>
      <c r="IZ310" s="104"/>
      <c r="JA310" s="104"/>
    </row>
    <row r="311" spans="2:261" x14ac:dyDescent="0.2">
      <c r="B311" s="104"/>
      <c r="C311" s="104"/>
      <c r="D311" s="104"/>
      <c r="E311" s="104"/>
      <c r="F311" s="104"/>
      <c r="G311" s="104"/>
      <c r="H311" s="104"/>
      <c r="I311" s="104"/>
      <c r="J311" s="151"/>
      <c r="K311" s="104"/>
      <c r="L311" s="104"/>
      <c r="M311" s="104"/>
      <c r="N311" s="151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  <c r="IU311" s="104"/>
      <c r="IV311" s="104"/>
      <c r="IW311" s="104"/>
      <c r="IX311" s="104"/>
      <c r="IY311" s="104"/>
      <c r="IZ311" s="104"/>
      <c r="JA311" s="104"/>
    </row>
    <row r="312" spans="2:261" x14ac:dyDescent="0.2">
      <c r="B312" s="104"/>
      <c r="C312" s="104"/>
      <c r="D312" s="104"/>
      <c r="E312" s="104"/>
      <c r="F312" s="104"/>
      <c r="G312" s="104"/>
      <c r="H312" s="104"/>
      <c r="I312" s="104"/>
      <c r="J312" s="151"/>
      <c r="K312" s="104"/>
      <c r="L312" s="104"/>
      <c r="M312" s="104"/>
      <c r="N312" s="151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04"/>
      <c r="EZ312" s="104"/>
      <c r="FA312" s="104"/>
      <c r="FB312" s="104"/>
      <c r="FC312" s="104"/>
      <c r="FD312" s="104"/>
      <c r="FE312" s="104"/>
      <c r="FF312" s="104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  <c r="HO312" s="104"/>
      <c r="HP312" s="104"/>
      <c r="HQ312" s="104"/>
      <c r="HR312" s="104"/>
      <c r="HS312" s="104"/>
      <c r="HT312" s="104"/>
      <c r="HU312" s="104"/>
      <c r="HV312" s="104"/>
      <c r="HW312" s="104"/>
      <c r="HX312" s="104"/>
      <c r="HY312" s="104"/>
      <c r="HZ312" s="104"/>
      <c r="IA312" s="104"/>
      <c r="IB312" s="104"/>
      <c r="IC312" s="104"/>
      <c r="ID312" s="104"/>
      <c r="IE312" s="104"/>
      <c r="IF312" s="104"/>
      <c r="IG312" s="104"/>
      <c r="IH312" s="104"/>
      <c r="II312" s="104"/>
      <c r="IJ312" s="104"/>
      <c r="IK312" s="104"/>
      <c r="IL312" s="104"/>
      <c r="IM312" s="104"/>
      <c r="IN312" s="104"/>
      <c r="IO312" s="104"/>
      <c r="IP312" s="104"/>
      <c r="IQ312" s="104"/>
      <c r="IR312" s="104"/>
      <c r="IS312" s="104"/>
      <c r="IT312" s="104"/>
      <c r="IU312" s="104"/>
      <c r="IV312" s="104"/>
      <c r="IW312" s="104"/>
      <c r="IX312" s="104"/>
      <c r="IY312" s="104"/>
      <c r="IZ312" s="104"/>
      <c r="JA312" s="104"/>
    </row>
    <row r="313" spans="2:261" x14ac:dyDescent="0.2">
      <c r="B313" s="104"/>
      <c r="C313" s="104"/>
      <c r="D313" s="104"/>
      <c r="E313" s="104"/>
      <c r="F313" s="104"/>
      <c r="G313" s="104"/>
      <c r="H313" s="104"/>
      <c r="I313" s="104"/>
      <c r="J313" s="151"/>
      <c r="K313" s="104"/>
      <c r="L313" s="104"/>
      <c r="M313" s="104"/>
      <c r="N313" s="151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  <c r="IW313" s="104"/>
      <c r="IX313" s="104"/>
      <c r="IY313" s="104"/>
      <c r="IZ313" s="104"/>
      <c r="JA313" s="104"/>
    </row>
    <row r="314" spans="2:261" x14ac:dyDescent="0.2">
      <c r="B314" s="104"/>
      <c r="C314" s="104"/>
      <c r="D314" s="104"/>
      <c r="E314" s="104"/>
      <c r="F314" s="104"/>
      <c r="G314" s="104"/>
      <c r="H314" s="104"/>
      <c r="I314" s="104"/>
      <c r="J314" s="151"/>
      <c r="K314" s="104"/>
      <c r="L314" s="104"/>
      <c r="M314" s="104"/>
      <c r="N314" s="151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  <c r="IU314" s="104"/>
      <c r="IV314" s="104"/>
      <c r="IW314" s="104"/>
      <c r="IX314" s="104"/>
      <c r="IY314" s="104"/>
      <c r="IZ314" s="104"/>
      <c r="JA314" s="104"/>
    </row>
    <row r="315" spans="2:261" x14ac:dyDescent="0.2">
      <c r="B315" s="104"/>
      <c r="C315" s="104"/>
      <c r="D315" s="104"/>
      <c r="E315" s="104"/>
      <c r="F315" s="104"/>
      <c r="G315" s="104"/>
      <c r="H315" s="104"/>
      <c r="I315" s="104"/>
      <c r="J315" s="151"/>
      <c r="K315" s="104"/>
      <c r="L315" s="104"/>
      <c r="M315" s="104"/>
      <c r="N315" s="151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  <c r="IU315" s="104"/>
      <c r="IV315" s="104"/>
      <c r="IW315" s="104"/>
      <c r="IX315" s="104"/>
      <c r="IY315" s="104"/>
      <c r="IZ315" s="104"/>
      <c r="JA315" s="104"/>
    </row>
    <row r="316" spans="2:261" x14ac:dyDescent="0.2">
      <c r="B316" s="104"/>
      <c r="C316" s="104"/>
      <c r="D316" s="104"/>
      <c r="E316" s="104"/>
      <c r="F316" s="104"/>
      <c r="G316" s="104"/>
      <c r="H316" s="104"/>
      <c r="I316" s="104"/>
      <c r="J316" s="151"/>
      <c r="K316" s="104"/>
      <c r="L316" s="104"/>
      <c r="M316" s="104"/>
      <c r="N316" s="151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  <c r="IU316" s="104"/>
      <c r="IV316" s="104"/>
      <c r="IW316" s="104"/>
      <c r="IX316" s="104"/>
      <c r="IY316" s="104"/>
      <c r="IZ316" s="104"/>
      <c r="JA316" s="104"/>
    </row>
    <row r="317" spans="2:261" x14ac:dyDescent="0.2">
      <c r="B317" s="104"/>
      <c r="C317" s="104"/>
      <c r="D317" s="104"/>
      <c r="E317" s="104"/>
      <c r="F317" s="104"/>
      <c r="G317" s="104"/>
      <c r="H317" s="104"/>
      <c r="I317" s="104"/>
      <c r="J317" s="151"/>
      <c r="K317" s="104"/>
      <c r="L317" s="104"/>
      <c r="M317" s="104"/>
      <c r="N317" s="151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  <c r="IU317" s="104"/>
      <c r="IV317" s="104"/>
      <c r="IW317" s="104"/>
      <c r="IX317" s="104"/>
      <c r="IY317" s="104"/>
      <c r="IZ317" s="104"/>
      <c r="JA317" s="104"/>
    </row>
    <row r="318" spans="2:261" x14ac:dyDescent="0.2">
      <c r="B318" s="104"/>
      <c r="C318" s="104"/>
      <c r="D318" s="104"/>
      <c r="E318" s="104"/>
      <c r="F318" s="104"/>
      <c r="G318" s="104"/>
      <c r="H318" s="104"/>
      <c r="I318" s="104"/>
      <c r="J318" s="151"/>
      <c r="K318" s="104"/>
      <c r="L318" s="104"/>
      <c r="M318" s="104"/>
      <c r="N318" s="151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  <c r="IU318" s="104"/>
      <c r="IV318" s="104"/>
      <c r="IW318" s="104"/>
      <c r="IX318" s="104"/>
      <c r="IY318" s="104"/>
      <c r="IZ318" s="104"/>
      <c r="JA318" s="104"/>
    </row>
    <row r="319" spans="2:261" x14ac:dyDescent="0.2">
      <c r="B319" s="104"/>
      <c r="C319" s="104"/>
      <c r="D319" s="104"/>
      <c r="E319" s="104"/>
      <c r="F319" s="104"/>
      <c r="G319" s="104"/>
      <c r="H319" s="104"/>
      <c r="I319" s="104"/>
      <c r="J319" s="151"/>
      <c r="K319" s="104"/>
      <c r="L319" s="104"/>
      <c r="M319" s="104"/>
      <c r="N319" s="151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  <c r="IU319" s="104"/>
      <c r="IV319" s="104"/>
      <c r="IW319" s="104"/>
      <c r="IX319" s="104"/>
      <c r="IY319" s="104"/>
      <c r="IZ319" s="104"/>
      <c r="JA319" s="104"/>
    </row>
    <row r="320" spans="2:261" x14ac:dyDescent="0.2">
      <c r="B320" s="104"/>
      <c r="C320" s="104"/>
      <c r="D320" s="104"/>
      <c r="E320" s="104"/>
      <c r="F320" s="104"/>
      <c r="G320" s="104"/>
      <c r="H320" s="104"/>
      <c r="I320" s="104"/>
      <c r="J320" s="151"/>
      <c r="K320" s="104"/>
      <c r="L320" s="104"/>
      <c r="M320" s="104"/>
      <c r="N320" s="151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  <c r="DF320" s="104"/>
      <c r="DG320" s="104"/>
      <c r="DH320" s="104"/>
      <c r="DI320" s="104"/>
      <c r="DJ320" s="104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  <c r="IW320" s="104"/>
      <c r="IX320" s="104"/>
      <c r="IY320" s="104"/>
      <c r="IZ320" s="104"/>
      <c r="JA320" s="104"/>
    </row>
    <row r="321" spans="2:261" x14ac:dyDescent="0.2">
      <c r="B321" s="104"/>
      <c r="C321" s="104"/>
      <c r="D321" s="104"/>
      <c r="E321" s="104"/>
      <c r="F321" s="104"/>
      <c r="G321" s="104"/>
      <c r="H321" s="104"/>
      <c r="I321" s="104"/>
      <c r="J321" s="151"/>
      <c r="K321" s="104"/>
      <c r="L321" s="104"/>
      <c r="M321" s="104"/>
      <c r="N321" s="151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4"/>
      <c r="DB321" s="104"/>
      <c r="DC321" s="104"/>
      <c r="DD321" s="104"/>
      <c r="DE321" s="104"/>
      <c r="DF321" s="104"/>
      <c r="DG321" s="104"/>
      <c r="DH321" s="104"/>
      <c r="DI321" s="104"/>
      <c r="DJ321" s="104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  <c r="IW321" s="104"/>
      <c r="IX321" s="104"/>
      <c r="IY321" s="104"/>
      <c r="IZ321" s="104"/>
      <c r="JA321" s="104"/>
    </row>
    <row r="322" spans="2:261" x14ac:dyDescent="0.2">
      <c r="B322" s="104"/>
      <c r="C322" s="104"/>
      <c r="D322" s="104"/>
      <c r="E322" s="104"/>
      <c r="F322" s="104"/>
      <c r="G322" s="104"/>
      <c r="H322" s="104"/>
      <c r="I322" s="104"/>
      <c r="J322" s="151"/>
      <c r="K322" s="104"/>
      <c r="L322" s="104"/>
      <c r="M322" s="104"/>
      <c r="N322" s="151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  <c r="IU322" s="104"/>
      <c r="IV322" s="104"/>
      <c r="IW322" s="104"/>
      <c r="IX322" s="104"/>
      <c r="IY322" s="104"/>
      <c r="IZ322" s="104"/>
      <c r="JA322" s="104"/>
    </row>
    <row r="323" spans="2:261" x14ac:dyDescent="0.2">
      <c r="B323" s="104"/>
      <c r="C323" s="104"/>
      <c r="D323" s="104"/>
      <c r="E323" s="104"/>
      <c r="F323" s="104"/>
      <c r="G323" s="104"/>
      <c r="H323" s="104"/>
      <c r="I323" s="104"/>
      <c r="J323" s="151"/>
      <c r="K323" s="104"/>
      <c r="L323" s="104"/>
      <c r="M323" s="104"/>
      <c r="N323" s="151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  <c r="IW323" s="104"/>
      <c r="IX323" s="104"/>
      <c r="IY323" s="104"/>
      <c r="IZ323" s="104"/>
      <c r="JA323" s="104"/>
    </row>
    <row r="324" spans="2:261" x14ac:dyDescent="0.2">
      <c r="B324" s="104"/>
      <c r="C324" s="104"/>
      <c r="D324" s="104"/>
      <c r="E324" s="104"/>
      <c r="F324" s="104"/>
      <c r="G324" s="104"/>
      <c r="H324" s="104"/>
      <c r="I324" s="104"/>
      <c r="J324" s="151"/>
      <c r="K324" s="104"/>
      <c r="L324" s="104"/>
      <c r="M324" s="104"/>
      <c r="N324" s="151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  <c r="IW324" s="104"/>
      <c r="IX324" s="104"/>
      <c r="IY324" s="104"/>
      <c r="IZ324" s="104"/>
      <c r="JA324" s="104"/>
    </row>
    <row r="325" spans="2:261" x14ac:dyDescent="0.2">
      <c r="B325" s="104"/>
      <c r="C325" s="104"/>
      <c r="D325" s="104"/>
      <c r="E325" s="104"/>
      <c r="F325" s="104"/>
      <c r="G325" s="104"/>
      <c r="H325" s="104"/>
      <c r="I325" s="104"/>
      <c r="J325" s="151"/>
      <c r="K325" s="104"/>
      <c r="L325" s="104"/>
      <c r="M325" s="104"/>
      <c r="N325" s="151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  <c r="IW325" s="104"/>
      <c r="IX325" s="104"/>
      <c r="IY325" s="104"/>
      <c r="IZ325" s="104"/>
      <c r="JA325" s="104"/>
    </row>
    <row r="326" spans="2:261" x14ac:dyDescent="0.2">
      <c r="B326" s="104"/>
      <c r="C326" s="104"/>
      <c r="D326" s="104"/>
      <c r="E326" s="104"/>
      <c r="F326" s="104"/>
      <c r="G326" s="104"/>
      <c r="H326" s="104"/>
      <c r="I326" s="104"/>
      <c r="J326" s="151"/>
      <c r="K326" s="104"/>
      <c r="L326" s="104"/>
      <c r="M326" s="104"/>
      <c r="N326" s="151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  <c r="IW326" s="104"/>
      <c r="IX326" s="104"/>
      <c r="IY326" s="104"/>
      <c r="IZ326" s="104"/>
      <c r="JA326" s="104"/>
    </row>
    <row r="327" spans="2:261" x14ac:dyDescent="0.2">
      <c r="B327" s="104"/>
      <c r="C327" s="104"/>
      <c r="D327" s="104"/>
      <c r="E327" s="104"/>
      <c r="F327" s="104"/>
      <c r="G327" s="104"/>
      <c r="H327" s="104"/>
      <c r="I327" s="104"/>
      <c r="J327" s="151"/>
      <c r="K327" s="104"/>
      <c r="L327" s="104"/>
      <c r="M327" s="104"/>
      <c r="N327" s="151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  <c r="IU327" s="104"/>
      <c r="IV327" s="104"/>
      <c r="IW327" s="104"/>
      <c r="IX327" s="104"/>
      <c r="IY327" s="104"/>
      <c r="IZ327" s="104"/>
      <c r="JA327" s="104"/>
    </row>
    <row r="328" spans="2:261" x14ac:dyDescent="0.2">
      <c r="B328" s="104"/>
      <c r="C328" s="104"/>
      <c r="D328" s="104"/>
      <c r="E328" s="104"/>
      <c r="F328" s="104"/>
      <c r="G328" s="104"/>
      <c r="H328" s="104"/>
      <c r="I328" s="104"/>
      <c r="J328" s="151"/>
      <c r="K328" s="104"/>
      <c r="L328" s="104"/>
      <c r="M328" s="104"/>
      <c r="N328" s="151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  <c r="IU328" s="104"/>
      <c r="IV328" s="104"/>
      <c r="IW328" s="104"/>
      <c r="IX328" s="104"/>
      <c r="IY328" s="104"/>
      <c r="IZ328" s="104"/>
      <c r="JA328" s="104"/>
    </row>
    <row r="329" spans="2:261" x14ac:dyDescent="0.2">
      <c r="B329" s="104"/>
      <c r="C329" s="104"/>
      <c r="D329" s="104"/>
      <c r="E329" s="104"/>
      <c r="F329" s="104"/>
      <c r="G329" s="104"/>
      <c r="H329" s="104"/>
      <c r="I329" s="104"/>
      <c r="J329" s="151"/>
      <c r="K329" s="104"/>
      <c r="L329" s="104"/>
      <c r="M329" s="104"/>
      <c r="N329" s="151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  <c r="IU329" s="104"/>
      <c r="IV329" s="104"/>
      <c r="IW329" s="104"/>
      <c r="IX329" s="104"/>
      <c r="IY329" s="104"/>
      <c r="IZ329" s="104"/>
      <c r="JA329" s="104"/>
    </row>
    <row r="330" spans="2:261" x14ac:dyDescent="0.2">
      <c r="B330" s="104"/>
      <c r="C330" s="104"/>
      <c r="D330" s="104"/>
      <c r="E330" s="104"/>
      <c r="F330" s="104"/>
      <c r="G330" s="104"/>
      <c r="H330" s="104"/>
      <c r="I330" s="104"/>
      <c r="J330" s="151"/>
      <c r="K330" s="104"/>
      <c r="L330" s="104"/>
      <c r="M330" s="104"/>
      <c r="N330" s="151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  <c r="IU330" s="104"/>
      <c r="IV330" s="104"/>
      <c r="IW330" s="104"/>
      <c r="IX330" s="104"/>
      <c r="IY330" s="104"/>
      <c r="IZ330" s="104"/>
      <c r="JA330" s="104"/>
    </row>
    <row r="331" spans="2:261" x14ac:dyDescent="0.2">
      <c r="B331" s="104"/>
      <c r="C331" s="104"/>
      <c r="D331" s="104"/>
      <c r="E331" s="104"/>
      <c r="F331" s="104"/>
      <c r="G331" s="104"/>
      <c r="H331" s="104"/>
      <c r="I331" s="104"/>
      <c r="J331" s="151"/>
      <c r="K331" s="104"/>
      <c r="L331" s="104"/>
      <c r="M331" s="104"/>
      <c r="N331" s="151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  <c r="IU331" s="104"/>
      <c r="IV331" s="104"/>
      <c r="IW331" s="104"/>
      <c r="IX331" s="104"/>
      <c r="IY331" s="104"/>
      <c r="IZ331" s="104"/>
      <c r="JA331" s="104"/>
    </row>
    <row r="332" spans="2:261" x14ac:dyDescent="0.2">
      <c r="B332" s="104"/>
      <c r="C332" s="104"/>
      <c r="D332" s="104"/>
      <c r="E332" s="104"/>
      <c r="F332" s="104"/>
      <c r="G332" s="104"/>
      <c r="H332" s="104"/>
      <c r="I332" s="104"/>
      <c r="J332" s="151"/>
      <c r="K332" s="104"/>
      <c r="L332" s="104"/>
      <c r="M332" s="104"/>
      <c r="N332" s="151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  <c r="IU332" s="104"/>
      <c r="IV332" s="104"/>
      <c r="IW332" s="104"/>
      <c r="IX332" s="104"/>
      <c r="IY332" s="104"/>
      <c r="IZ332" s="104"/>
      <c r="JA332" s="104"/>
    </row>
    <row r="333" spans="2:261" x14ac:dyDescent="0.2">
      <c r="B333" s="104"/>
      <c r="C333" s="104"/>
      <c r="D333" s="104"/>
      <c r="E333" s="104"/>
      <c r="F333" s="104"/>
      <c r="G333" s="104"/>
      <c r="H333" s="104"/>
      <c r="I333" s="104"/>
      <c r="J333" s="151"/>
      <c r="K333" s="104"/>
      <c r="L333" s="104"/>
      <c r="M333" s="104"/>
      <c r="N333" s="151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  <c r="IU333" s="104"/>
      <c r="IV333" s="104"/>
      <c r="IW333" s="104"/>
      <c r="IX333" s="104"/>
      <c r="IY333" s="104"/>
      <c r="IZ333" s="104"/>
      <c r="JA333" s="104"/>
    </row>
    <row r="334" spans="2:261" x14ac:dyDescent="0.2">
      <c r="B334" s="104"/>
      <c r="C334" s="104"/>
      <c r="D334" s="104"/>
      <c r="E334" s="104"/>
      <c r="F334" s="104"/>
      <c r="G334" s="104"/>
      <c r="H334" s="104"/>
      <c r="I334" s="104"/>
      <c r="J334" s="151"/>
      <c r="K334" s="104"/>
      <c r="L334" s="104"/>
      <c r="M334" s="104"/>
      <c r="N334" s="151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4"/>
      <c r="DB334" s="104"/>
      <c r="DC334" s="104"/>
      <c r="DD334" s="104"/>
      <c r="DE334" s="104"/>
      <c r="DF334" s="104"/>
      <c r="DG334" s="104"/>
      <c r="DH334" s="104"/>
      <c r="DI334" s="104"/>
      <c r="DJ334" s="104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04"/>
      <c r="EZ334" s="104"/>
      <c r="FA334" s="104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  <c r="HO334" s="104"/>
      <c r="HP334" s="104"/>
      <c r="HQ334" s="104"/>
      <c r="HR334" s="104"/>
      <c r="HS334" s="104"/>
      <c r="HT334" s="104"/>
      <c r="HU334" s="104"/>
      <c r="HV334" s="104"/>
      <c r="HW334" s="104"/>
      <c r="HX334" s="104"/>
      <c r="HY334" s="104"/>
      <c r="HZ334" s="104"/>
      <c r="IA334" s="104"/>
      <c r="IB334" s="104"/>
      <c r="IC334" s="104"/>
      <c r="ID334" s="104"/>
      <c r="IE334" s="104"/>
      <c r="IF334" s="104"/>
      <c r="IG334" s="104"/>
      <c r="IH334" s="104"/>
      <c r="II334" s="104"/>
      <c r="IJ334" s="104"/>
      <c r="IK334" s="104"/>
      <c r="IL334" s="104"/>
      <c r="IM334" s="104"/>
      <c r="IN334" s="104"/>
      <c r="IO334" s="104"/>
      <c r="IP334" s="104"/>
      <c r="IQ334" s="104"/>
      <c r="IR334" s="104"/>
      <c r="IS334" s="104"/>
      <c r="IT334" s="104"/>
      <c r="IU334" s="104"/>
      <c r="IV334" s="104"/>
      <c r="IW334" s="104"/>
      <c r="IX334" s="104"/>
      <c r="IY334" s="104"/>
      <c r="IZ334" s="104"/>
      <c r="JA334" s="104"/>
    </row>
    <row r="335" spans="2:261" x14ac:dyDescent="0.2">
      <c r="B335" s="104"/>
      <c r="C335" s="104"/>
      <c r="D335" s="104"/>
      <c r="E335" s="104"/>
      <c r="F335" s="104"/>
      <c r="G335" s="104"/>
      <c r="H335" s="104"/>
      <c r="I335" s="104"/>
      <c r="J335" s="151"/>
      <c r="K335" s="104"/>
      <c r="L335" s="104"/>
      <c r="M335" s="104"/>
      <c r="N335" s="151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4"/>
      <c r="DB335" s="104"/>
      <c r="DC335" s="104"/>
      <c r="DD335" s="104"/>
      <c r="DE335" s="104"/>
      <c r="DF335" s="104"/>
      <c r="DG335" s="104"/>
      <c r="DH335" s="104"/>
      <c r="DI335" s="104"/>
      <c r="DJ335" s="104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  <c r="HO335" s="104"/>
      <c r="HP335" s="104"/>
      <c r="HQ335" s="104"/>
      <c r="HR335" s="104"/>
      <c r="HS335" s="104"/>
      <c r="HT335" s="104"/>
      <c r="HU335" s="104"/>
      <c r="HV335" s="104"/>
      <c r="HW335" s="104"/>
      <c r="HX335" s="104"/>
      <c r="HY335" s="104"/>
      <c r="HZ335" s="104"/>
      <c r="IA335" s="104"/>
      <c r="IB335" s="104"/>
      <c r="IC335" s="104"/>
      <c r="ID335" s="104"/>
      <c r="IE335" s="104"/>
      <c r="IF335" s="104"/>
      <c r="IG335" s="104"/>
      <c r="IH335" s="104"/>
      <c r="II335" s="104"/>
      <c r="IJ335" s="104"/>
      <c r="IK335" s="104"/>
      <c r="IL335" s="104"/>
      <c r="IM335" s="104"/>
      <c r="IN335" s="104"/>
      <c r="IO335" s="104"/>
      <c r="IP335" s="104"/>
      <c r="IQ335" s="104"/>
      <c r="IR335" s="104"/>
      <c r="IS335" s="104"/>
      <c r="IT335" s="104"/>
      <c r="IU335" s="104"/>
      <c r="IV335" s="104"/>
      <c r="IW335" s="104"/>
      <c r="IX335" s="104"/>
      <c r="IY335" s="104"/>
      <c r="IZ335" s="104"/>
      <c r="JA335" s="104"/>
    </row>
    <row r="336" spans="2:261" x14ac:dyDescent="0.2">
      <c r="B336" s="104"/>
      <c r="C336" s="104"/>
      <c r="D336" s="104"/>
      <c r="E336" s="104"/>
      <c r="F336" s="104"/>
      <c r="G336" s="104"/>
      <c r="H336" s="104"/>
      <c r="I336" s="104"/>
      <c r="J336" s="151"/>
      <c r="K336" s="104"/>
      <c r="L336" s="104"/>
      <c r="M336" s="104"/>
      <c r="N336" s="151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4"/>
      <c r="DB336" s="104"/>
      <c r="DC336" s="104"/>
      <c r="DD336" s="104"/>
      <c r="DE336" s="104"/>
      <c r="DF336" s="104"/>
      <c r="DG336" s="104"/>
      <c r="DH336" s="104"/>
      <c r="DI336" s="104"/>
      <c r="DJ336" s="104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04"/>
      <c r="EZ336" s="104"/>
      <c r="FA336" s="104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  <c r="HO336" s="104"/>
      <c r="HP336" s="104"/>
      <c r="HQ336" s="104"/>
      <c r="HR336" s="104"/>
      <c r="HS336" s="104"/>
      <c r="HT336" s="104"/>
      <c r="HU336" s="104"/>
      <c r="HV336" s="104"/>
      <c r="HW336" s="104"/>
      <c r="HX336" s="104"/>
      <c r="HY336" s="104"/>
      <c r="HZ336" s="104"/>
      <c r="IA336" s="104"/>
      <c r="IB336" s="104"/>
      <c r="IC336" s="104"/>
      <c r="ID336" s="104"/>
      <c r="IE336" s="104"/>
      <c r="IF336" s="104"/>
      <c r="IG336" s="104"/>
      <c r="IH336" s="104"/>
      <c r="II336" s="104"/>
      <c r="IJ336" s="104"/>
      <c r="IK336" s="104"/>
      <c r="IL336" s="104"/>
      <c r="IM336" s="104"/>
      <c r="IN336" s="104"/>
      <c r="IO336" s="104"/>
      <c r="IP336" s="104"/>
      <c r="IQ336" s="104"/>
      <c r="IR336" s="104"/>
      <c r="IS336" s="104"/>
      <c r="IT336" s="104"/>
      <c r="IU336" s="104"/>
      <c r="IV336" s="104"/>
      <c r="IW336" s="104"/>
      <c r="IX336" s="104"/>
      <c r="IY336" s="104"/>
      <c r="IZ336" s="104"/>
      <c r="JA336" s="104"/>
    </row>
    <row r="337" spans="2:261" x14ac:dyDescent="0.2">
      <c r="B337" s="104"/>
      <c r="C337" s="104"/>
      <c r="D337" s="104"/>
      <c r="E337" s="104"/>
      <c r="F337" s="104"/>
      <c r="G337" s="104"/>
      <c r="H337" s="104"/>
      <c r="I337" s="104"/>
      <c r="J337" s="151"/>
      <c r="K337" s="104"/>
      <c r="L337" s="104"/>
      <c r="M337" s="104"/>
      <c r="N337" s="151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  <c r="IW337" s="104"/>
      <c r="IX337" s="104"/>
      <c r="IY337" s="104"/>
      <c r="IZ337" s="104"/>
      <c r="JA337" s="104"/>
    </row>
    <row r="338" spans="2:261" x14ac:dyDescent="0.2">
      <c r="B338" s="104"/>
      <c r="C338" s="104"/>
      <c r="D338" s="104"/>
      <c r="E338" s="104"/>
      <c r="F338" s="104"/>
      <c r="G338" s="104"/>
      <c r="H338" s="104"/>
      <c r="I338" s="104"/>
      <c r="J338" s="151"/>
      <c r="K338" s="104"/>
      <c r="L338" s="104"/>
      <c r="M338" s="104"/>
      <c r="N338" s="151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4"/>
      <c r="DB338" s="104"/>
      <c r="DC338" s="104"/>
      <c r="DD338" s="104"/>
      <c r="DE338" s="104"/>
      <c r="DF338" s="104"/>
      <c r="DG338" s="104"/>
      <c r="DH338" s="104"/>
      <c r="DI338" s="104"/>
      <c r="DJ338" s="104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04"/>
      <c r="EZ338" s="104"/>
      <c r="FA338" s="104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  <c r="HO338" s="104"/>
      <c r="HP338" s="104"/>
      <c r="HQ338" s="104"/>
      <c r="HR338" s="104"/>
      <c r="HS338" s="104"/>
      <c r="HT338" s="104"/>
      <c r="HU338" s="104"/>
      <c r="HV338" s="104"/>
      <c r="HW338" s="104"/>
      <c r="HX338" s="104"/>
      <c r="HY338" s="104"/>
      <c r="HZ338" s="104"/>
      <c r="IA338" s="104"/>
      <c r="IB338" s="104"/>
      <c r="IC338" s="104"/>
      <c r="ID338" s="104"/>
      <c r="IE338" s="104"/>
      <c r="IF338" s="104"/>
      <c r="IG338" s="104"/>
      <c r="IH338" s="104"/>
      <c r="II338" s="104"/>
      <c r="IJ338" s="104"/>
      <c r="IK338" s="104"/>
      <c r="IL338" s="104"/>
      <c r="IM338" s="104"/>
      <c r="IN338" s="104"/>
      <c r="IO338" s="104"/>
      <c r="IP338" s="104"/>
      <c r="IQ338" s="104"/>
      <c r="IR338" s="104"/>
      <c r="IS338" s="104"/>
      <c r="IT338" s="104"/>
      <c r="IU338" s="104"/>
      <c r="IV338" s="104"/>
      <c r="IW338" s="104"/>
      <c r="IX338" s="104"/>
      <c r="IY338" s="104"/>
      <c r="IZ338" s="104"/>
      <c r="JA338" s="104"/>
    </row>
    <row r="339" spans="2:261" x14ac:dyDescent="0.2">
      <c r="B339" s="104"/>
      <c r="C339" s="104"/>
      <c r="D339" s="104"/>
      <c r="E339" s="104"/>
      <c r="F339" s="104"/>
      <c r="G339" s="104"/>
      <c r="H339" s="104"/>
      <c r="I339" s="104"/>
      <c r="J339" s="151"/>
      <c r="K339" s="104"/>
      <c r="L339" s="104"/>
      <c r="M339" s="104"/>
      <c r="N339" s="151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4"/>
      <c r="DB339" s="104"/>
      <c r="DC339" s="104"/>
      <c r="DD339" s="104"/>
      <c r="DE339" s="104"/>
      <c r="DF339" s="104"/>
      <c r="DG339" s="104"/>
      <c r="DH339" s="104"/>
      <c r="DI339" s="104"/>
      <c r="DJ339" s="104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4"/>
      <c r="FA339" s="104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  <c r="HO339" s="104"/>
      <c r="HP339" s="104"/>
      <c r="HQ339" s="104"/>
      <c r="HR339" s="104"/>
      <c r="HS339" s="104"/>
      <c r="HT339" s="104"/>
      <c r="HU339" s="104"/>
      <c r="HV339" s="104"/>
      <c r="HW339" s="104"/>
      <c r="HX339" s="104"/>
      <c r="HY339" s="104"/>
      <c r="HZ339" s="104"/>
      <c r="IA339" s="104"/>
      <c r="IB339" s="104"/>
      <c r="IC339" s="104"/>
      <c r="ID339" s="104"/>
      <c r="IE339" s="104"/>
      <c r="IF339" s="104"/>
      <c r="IG339" s="104"/>
      <c r="IH339" s="104"/>
      <c r="II339" s="104"/>
      <c r="IJ339" s="104"/>
      <c r="IK339" s="104"/>
      <c r="IL339" s="104"/>
      <c r="IM339" s="104"/>
      <c r="IN339" s="104"/>
      <c r="IO339" s="104"/>
      <c r="IP339" s="104"/>
      <c r="IQ339" s="104"/>
      <c r="IR339" s="104"/>
      <c r="IS339" s="104"/>
      <c r="IT339" s="104"/>
      <c r="IU339" s="104"/>
      <c r="IV339" s="104"/>
      <c r="IW339" s="104"/>
      <c r="IX339" s="104"/>
      <c r="IY339" s="104"/>
      <c r="IZ339" s="104"/>
      <c r="JA339" s="104"/>
    </row>
    <row r="340" spans="2:261" x14ac:dyDescent="0.2">
      <c r="B340" s="104"/>
      <c r="C340" s="104"/>
      <c r="D340" s="104"/>
      <c r="E340" s="104"/>
      <c r="F340" s="104"/>
      <c r="G340" s="104"/>
      <c r="H340" s="104"/>
      <c r="I340" s="104"/>
      <c r="J340" s="151"/>
      <c r="K340" s="104"/>
      <c r="L340" s="104"/>
      <c r="M340" s="104"/>
      <c r="N340" s="151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4"/>
      <c r="DB340" s="104"/>
      <c r="DC340" s="104"/>
      <c r="DD340" s="104"/>
      <c r="DE340" s="104"/>
      <c r="DF340" s="104"/>
      <c r="DG340" s="104"/>
      <c r="DH340" s="104"/>
      <c r="DI340" s="104"/>
      <c r="DJ340" s="104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04"/>
      <c r="EZ340" s="104"/>
      <c r="FA340" s="104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  <c r="HO340" s="104"/>
      <c r="HP340" s="104"/>
      <c r="HQ340" s="104"/>
      <c r="HR340" s="104"/>
      <c r="HS340" s="104"/>
      <c r="HT340" s="104"/>
      <c r="HU340" s="104"/>
      <c r="HV340" s="104"/>
      <c r="HW340" s="104"/>
      <c r="HX340" s="104"/>
      <c r="HY340" s="104"/>
      <c r="HZ340" s="104"/>
      <c r="IA340" s="104"/>
      <c r="IB340" s="104"/>
      <c r="IC340" s="104"/>
      <c r="ID340" s="104"/>
      <c r="IE340" s="104"/>
      <c r="IF340" s="104"/>
      <c r="IG340" s="104"/>
      <c r="IH340" s="104"/>
      <c r="II340" s="104"/>
      <c r="IJ340" s="104"/>
      <c r="IK340" s="104"/>
      <c r="IL340" s="104"/>
      <c r="IM340" s="104"/>
      <c r="IN340" s="104"/>
      <c r="IO340" s="104"/>
      <c r="IP340" s="104"/>
      <c r="IQ340" s="104"/>
      <c r="IR340" s="104"/>
      <c r="IS340" s="104"/>
      <c r="IT340" s="104"/>
      <c r="IU340" s="104"/>
      <c r="IV340" s="104"/>
      <c r="IW340" s="104"/>
      <c r="IX340" s="104"/>
      <c r="IY340" s="104"/>
      <c r="IZ340" s="104"/>
      <c r="JA340" s="104"/>
    </row>
    <row r="341" spans="2:261" x14ac:dyDescent="0.2">
      <c r="B341" s="104"/>
      <c r="C341" s="104"/>
      <c r="D341" s="104"/>
      <c r="E341" s="104"/>
      <c r="F341" s="104"/>
      <c r="G341" s="104"/>
      <c r="H341" s="104"/>
      <c r="I341" s="104"/>
      <c r="J341" s="151"/>
      <c r="K341" s="104"/>
      <c r="L341" s="104"/>
      <c r="M341" s="104"/>
      <c r="N341" s="151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4"/>
      <c r="DB341" s="104"/>
      <c r="DC341" s="104"/>
      <c r="DD341" s="104"/>
      <c r="DE341" s="104"/>
      <c r="DF341" s="104"/>
      <c r="DG341" s="104"/>
      <c r="DH341" s="104"/>
      <c r="DI341" s="104"/>
      <c r="DJ341" s="104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04"/>
      <c r="EZ341" s="104"/>
      <c r="FA341" s="104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  <c r="HO341" s="104"/>
      <c r="HP341" s="104"/>
      <c r="HQ341" s="104"/>
      <c r="HR341" s="104"/>
      <c r="HS341" s="104"/>
      <c r="HT341" s="104"/>
      <c r="HU341" s="104"/>
      <c r="HV341" s="104"/>
      <c r="HW341" s="104"/>
      <c r="HX341" s="104"/>
      <c r="HY341" s="104"/>
      <c r="HZ341" s="104"/>
      <c r="IA341" s="104"/>
      <c r="IB341" s="104"/>
      <c r="IC341" s="104"/>
      <c r="ID341" s="104"/>
      <c r="IE341" s="104"/>
      <c r="IF341" s="104"/>
      <c r="IG341" s="104"/>
      <c r="IH341" s="104"/>
      <c r="II341" s="104"/>
      <c r="IJ341" s="104"/>
      <c r="IK341" s="104"/>
      <c r="IL341" s="104"/>
      <c r="IM341" s="104"/>
      <c r="IN341" s="104"/>
      <c r="IO341" s="104"/>
      <c r="IP341" s="104"/>
      <c r="IQ341" s="104"/>
      <c r="IR341" s="104"/>
      <c r="IS341" s="104"/>
      <c r="IT341" s="104"/>
      <c r="IU341" s="104"/>
      <c r="IV341" s="104"/>
      <c r="IW341" s="104"/>
      <c r="IX341" s="104"/>
      <c r="IY341" s="104"/>
      <c r="IZ341" s="104"/>
      <c r="JA341" s="104"/>
    </row>
    <row r="342" spans="2:261" x14ac:dyDescent="0.2">
      <c r="B342" s="104"/>
      <c r="C342" s="104"/>
      <c r="D342" s="104"/>
      <c r="E342" s="104"/>
      <c r="F342" s="104"/>
      <c r="G342" s="104"/>
      <c r="H342" s="104"/>
      <c r="I342" s="104"/>
      <c r="J342" s="151"/>
      <c r="K342" s="104"/>
      <c r="L342" s="104"/>
      <c r="M342" s="104"/>
      <c r="N342" s="151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4"/>
      <c r="DB342" s="104"/>
      <c r="DC342" s="104"/>
      <c r="DD342" s="104"/>
      <c r="DE342" s="104"/>
      <c r="DF342" s="104"/>
      <c r="DG342" s="104"/>
      <c r="DH342" s="104"/>
      <c r="DI342" s="104"/>
      <c r="DJ342" s="104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04"/>
      <c r="EZ342" s="104"/>
      <c r="FA342" s="104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  <c r="HO342" s="104"/>
      <c r="HP342" s="104"/>
      <c r="HQ342" s="104"/>
      <c r="HR342" s="104"/>
      <c r="HS342" s="104"/>
      <c r="HT342" s="104"/>
      <c r="HU342" s="104"/>
      <c r="HV342" s="104"/>
      <c r="HW342" s="104"/>
      <c r="HX342" s="104"/>
      <c r="HY342" s="104"/>
      <c r="HZ342" s="104"/>
      <c r="IA342" s="104"/>
      <c r="IB342" s="104"/>
      <c r="IC342" s="104"/>
      <c r="ID342" s="104"/>
      <c r="IE342" s="104"/>
      <c r="IF342" s="104"/>
      <c r="IG342" s="104"/>
      <c r="IH342" s="104"/>
      <c r="II342" s="104"/>
      <c r="IJ342" s="104"/>
      <c r="IK342" s="104"/>
      <c r="IL342" s="104"/>
      <c r="IM342" s="104"/>
      <c r="IN342" s="104"/>
      <c r="IO342" s="104"/>
      <c r="IP342" s="104"/>
      <c r="IQ342" s="104"/>
      <c r="IR342" s="104"/>
      <c r="IS342" s="104"/>
      <c r="IT342" s="104"/>
      <c r="IU342" s="104"/>
      <c r="IV342" s="104"/>
      <c r="IW342" s="104"/>
      <c r="IX342" s="104"/>
      <c r="IY342" s="104"/>
      <c r="IZ342" s="104"/>
      <c r="JA342" s="104"/>
    </row>
    <row r="343" spans="2:261" x14ac:dyDescent="0.2">
      <c r="B343" s="104"/>
      <c r="C343" s="104"/>
      <c r="D343" s="104"/>
      <c r="E343" s="104"/>
      <c r="F343" s="104"/>
      <c r="G343" s="104"/>
      <c r="H343" s="104"/>
      <c r="I343" s="104"/>
      <c r="J343" s="151"/>
      <c r="K343" s="104"/>
      <c r="L343" s="104"/>
      <c r="M343" s="104"/>
      <c r="N343" s="151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4"/>
      <c r="DB343" s="104"/>
      <c r="DC343" s="104"/>
      <c r="DD343" s="104"/>
      <c r="DE343" s="104"/>
      <c r="DF343" s="104"/>
      <c r="DG343" s="104"/>
      <c r="DH343" s="104"/>
      <c r="DI343" s="104"/>
      <c r="DJ343" s="104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4"/>
      <c r="FA343" s="104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  <c r="HO343" s="104"/>
      <c r="HP343" s="104"/>
      <c r="HQ343" s="104"/>
      <c r="HR343" s="104"/>
      <c r="HS343" s="104"/>
      <c r="HT343" s="104"/>
      <c r="HU343" s="104"/>
      <c r="HV343" s="104"/>
      <c r="HW343" s="104"/>
      <c r="HX343" s="104"/>
      <c r="HY343" s="104"/>
      <c r="HZ343" s="104"/>
      <c r="IA343" s="104"/>
      <c r="IB343" s="104"/>
      <c r="IC343" s="104"/>
      <c r="ID343" s="104"/>
      <c r="IE343" s="104"/>
      <c r="IF343" s="104"/>
      <c r="IG343" s="104"/>
      <c r="IH343" s="104"/>
      <c r="II343" s="104"/>
      <c r="IJ343" s="104"/>
      <c r="IK343" s="104"/>
      <c r="IL343" s="104"/>
      <c r="IM343" s="104"/>
      <c r="IN343" s="104"/>
      <c r="IO343" s="104"/>
      <c r="IP343" s="104"/>
      <c r="IQ343" s="104"/>
      <c r="IR343" s="104"/>
      <c r="IS343" s="104"/>
      <c r="IT343" s="104"/>
      <c r="IU343" s="104"/>
      <c r="IV343" s="104"/>
      <c r="IW343" s="104"/>
      <c r="IX343" s="104"/>
      <c r="IY343" s="104"/>
      <c r="IZ343" s="104"/>
      <c r="JA343" s="104"/>
    </row>
    <row r="344" spans="2:261" x14ac:dyDescent="0.2">
      <c r="B344" s="104"/>
      <c r="C344" s="104"/>
      <c r="D344" s="104"/>
      <c r="E344" s="104"/>
      <c r="F344" s="104"/>
      <c r="G344" s="104"/>
      <c r="H344" s="104"/>
      <c r="I344" s="104"/>
      <c r="J344" s="151"/>
      <c r="K344" s="104"/>
      <c r="L344" s="104"/>
      <c r="M344" s="104"/>
      <c r="N344" s="151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4"/>
      <c r="DB344" s="104"/>
      <c r="DC344" s="104"/>
      <c r="DD344" s="104"/>
      <c r="DE344" s="104"/>
      <c r="DF344" s="104"/>
      <c r="DG344" s="104"/>
      <c r="DH344" s="104"/>
      <c r="DI344" s="104"/>
      <c r="DJ344" s="104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04"/>
      <c r="EZ344" s="104"/>
      <c r="FA344" s="104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  <c r="HO344" s="104"/>
      <c r="HP344" s="104"/>
      <c r="HQ344" s="104"/>
      <c r="HR344" s="104"/>
      <c r="HS344" s="104"/>
      <c r="HT344" s="104"/>
      <c r="HU344" s="104"/>
      <c r="HV344" s="104"/>
      <c r="HW344" s="104"/>
      <c r="HX344" s="104"/>
      <c r="HY344" s="104"/>
      <c r="HZ344" s="104"/>
      <c r="IA344" s="104"/>
      <c r="IB344" s="104"/>
      <c r="IC344" s="104"/>
      <c r="ID344" s="104"/>
      <c r="IE344" s="104"/>
      <c r="IF344" s="104"/>
      <c r="IG344" s="104"/>
      <c r="IH344" s="104"/>
      <c r="II344" s="104"/>
      <c r="IJ344" s="104"/>
      <c r="IK344" s="104"/>
      <c r="IL344" s="104"/>
      <c r="IM344" s="104"/>
      <c r="IN344" s="104"/>
      <c r="IO344" s="104"/>
      <c r="IP344" s="104"/>
      <c r="IQ344" s="104"/>
      <c r="IR344" s="104"/>
      <c r="IS344" s="104"/>
      <c r="IT344" s="104"/>
      <c r="IU344" s="104"/>
      <c r="IV344" s="104"/>
      <c r="IW344" s="104"/>
      <c r="IX344" s="104"/>
      <c r="IY344" s="104"/>
      <c r="IZ344" s="104"/>
      <c r="JA344" s="104"/>
    </row>
    <row r="345" spans="2:261" x14ac:dyDescent="0.2">
      <c r="B345" s="104"/>
      <c r="C345" s="104"/>
      <c r="D345" s="104"/>
      <c r="E345" s="104"/>
      <c r="F345" s="104"/>
      <c r="G345" s="104"/>
      <c r="H345" s="104"/>
      <c r="I345" s="104"/>
      <c r="J345" s="151"/>
      <c r="K345" s="104"/>
      <c r="L345" s="104"/>
      <c r="M345" s="104"/>
      <c r="N345" s="151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4"/>
      <c r="DB345" s="104"/>
      <c r="DC345" s="104"/>
      <c r="DD345" s="104"/>
      <c r="DE345" s="104"/>
      <c r="DF345" s="104"/>
      <c r="DG345" s="104"/>
      <c r="DH345" s="104"/>
      <c r="DI345" s="104"/>
      <c r="DJ345" s="104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04"/>
      <c r="EZ345" s="104"/>
      <c r="FA345" s="104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  <c r="HO345" s="104"/>
      <c r="HP345" s="104"/>
      <c r="HQ345" s="104"/>
      <c r="HR345" s="104"/>
      <c r="HS345" s="104"/>
      <c r="HT345" s="104"/>
      <c r="HU345" s="104"/>
      <c r="HV345" s="104"/>
      <c r="HW345" s="104"/>
      <c r="HX345" s="104"/>
      <c r="HY345" s="104"/>
      <c r="HZ345" s="104"/>
      <c r="IA345" s="104"/>
      <c r="IB345" s="104"/>
      <c r="IC345" s="104"/>
      <c r="ID345" s="104"/>
      <c r="IE345" s="104"/>
      <c r="IF345" s="104"/>
      <c r="IG345" s="104"/>
      <c r="IH345" s="104"/>
      <c r="II345" s="104"/>
      <c r="IJ345" s="104"/>
      <c r="IK345" s="104"/>
      <c r="IL345" s="104"/>
      <c r="IM345" s="104"/>
      <c r="IN345" s="104"/>
      <c r="IO345" s="104"/>
      <c r="IP345" s="104"/>
      <c r="IQ345" s="104"/>
      <c r="IR345" s="104"/>
      <c r="IS345" s="104"/>
      <c r="IT345" s="104"/>
      <c r="IU345" s="104"/>
      <c r="IV345" s="104"/>
      <c r="IW345" s="104"/>
      <c r="IX345" s="104"/>
      <c r="IY345" s="104"/>
      <c r="IZ345" s="104"/>
      <c r="JA345" s="104"/>
    </row>
    <row r="346" spans="2:261" x14ac:dyDescent="0.2">
      <c r="B346" s="104"/>
      <c r="C346" s="104"/>
      <c r="D346" s="104"/>
      <c r="E346" s="104"/>
      <c r="F346" s="104"/>
      <c r="G346" s="104"/>
      <c r="H346" s="104"/>
      <c r="I346" s="104"/>
      <c r="J346" s="151"/>
      <c r="K346" s="104"/>
      <c r="L346" s="104"/>
      <c r="M346" s="104"/>
      <c r="N346" s="151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4"/>
      <c r="DB346" s="104"/>
      <c r="DC346" s="104"/>
      <c r="DD346" s="104"/>
      <c r="DE346" s="104"/>
      <c r="DF346" s="104"/>
      <c r="DG346" s="104"/>
      <c r="DH346" s="104"/>
      <c r="DI346" s="104"/>
      <c r="DJ346" s="104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04"/>
      <c r="EZ346" s="104"/>
      <c r="FA346" s="104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  <c r="HO346" s="104"/>
      <c r="HP346" s="104"/>
      <c r="HQ346" s="104"/>
      <c r="HR346" s="104"/>
      <c r="HS346" s="104"/>
      <c r="HT346" s="104"/>
      <c r="HU346" s="104"/>
      <c r="HV346" s="104"/>
      <c r="HW346" s="104"/>
      <c r="HX346" s="104"/>
      <c r="HY346" s="104"/>
      <c r="HZ346" s="104"/>
      <c r="IA346" s="104"/>
      <c r="IB346" s="104"/>
      <c r="IC346" s="104"/>
      <c r="ID346" s="104"/>
      <c r="IE346" s="104"/>
      <c r="IF346" s="104"/>
      <c r="IG346" s="104"/>
      <c r="IH346" s="104"/>
      <c r="II346" s="104"/>
      <c r="IJ346" s="104"/>
      <c r="IK346" s="104"/>
      <c r="IL346" s="104"/>
      <c r="IM346" s="104"/>
      <c r="IN346" s="104"/>
      <c r="IO346" s="104"/>
      <c r="IP346" s="104"/>
      <c r="IQ346" s="104"/>
      <c r="IR346" s="104"/>
      <c r="IS346" s="104"/>
      <c r="IT346" s="104"/>
      <c r="IU346" s="104"/>
      <c r="IV346" s="104"/>
      <c r="IW346" s="104"/>
      <c r="IX346" s="104"/>
      <c r="IY346" s="104"/>
      <c r="IZ346" s="104"/>
      <c r="JA346" s="104"/>
    </row>
    <row r="347" spans="2:261" x14ac:dyDescent="0.2">
      <c r="B347" s="104"/>
      <c r="C347" s="104"/>
      <c r="D347" s="104"/>
      <c r="E347" s="104"/>
      <c r="F347" s="104"/>
      <c r="G347" s="104"/>
      <c r="H347" s="104"/>
      <c r="I347" s="104"/>
      <c r="J347" s="151"/>
      <c r="K347" s="104"/>
      <c r="L347" s="104"/>
      <c r="M347" s="104"/>
      <c r="N347" s="151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4"/>
      <c r="DB347" s="104"/>
      <c r="DC347" s="104"/>
      <c r="DD347" s="104"/>
      <c r="DE347" s="104"/>
      <c r="DF347" s="104"/>
      <c r="DG347" s="104"/>
      <c r="DH347" s="104"/>
      <c r="DI347" s="104"/>
      <c r="DJ347" s="104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4"/>
      <c r="FA347" s="104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  <c r="HO347" s="104"/>
      <c r="HP347" s="104"/>
      <c r="HQ347" s="104"/>
      <c r="HR347" s="104"/>
      <c r="HS347" s="104"/>
      <c r="HT347" s="104"/>
      <c r="HU347" s="104"/>
      <c r="HV347" s="104"/>
      <c r="HW347" s="104"/>
      <c r="HX347" s="104"/>
      <c r="HY347" s="104"/>
      <c r="HZ347" s="104"/>
      <c r="IA347" s="104"/>
      <c r="IB347" s="104"/>
      <c r="IC347" s="104"/>
      <c r="ID347" s="104"/>
      <c r="IE347" s="104"/>
      <c r="IF347" s="104"/>
      <c r="IG347" s="104"/>
      <c r="IH347" s="104"/>
      <c r="II347" s="104"/>
      <c r="IJ347" s="104"/>
      <c r="IK347" s="104"/>
      <c r="IL347" s="104"/>
      <c r="IM347" s="104"/>
      <c r="IN347" s="104"/>
      <c r="IO347" s="104"/>
      <c r="IP347" s="104"/>
      <c r="IQ347" s="104"/>
      <c r="IR347" s="104"/>
      <c r="IS347" s="104"/>
      <c r="IT347" s="104"/>
      <c r="IU347" s="104"/>
      <c r="IV347" s="104"/>
      <c r="IW347" s="104"/>
      <c r="IX347" s="104"/>
      <c r="IY347" s="104"/>
      <c r="IZ347" s="104"/>
      <c r="JA347" s="104"/>
    </row>
    <row r="348" spans="2:261" x14ac:dyDescent="0.2">
      <c r="B348" s="104"/>
      <c r="C348" s="104"/>
      <c r="D348" s="104"/>
      <c r="E348" s="104"/>
      <c r="F348" s="104"/>
      <c r="G348" s="104"/>
      <c r="H348" s="104"/>
      <c r="I348" s="104"/>
      <c r="J348" s="151"/>
      <c r="K348" s="104"/>
      <c r="L348" s="104"/>
      <c r="M348" s="104"/>
      <c r="N348" s="151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4"/>
      <c r="DB348" s="104"/>
      <c r="DC348" s="104"/>
      <c r="DD348" s="104"/>
      <c r="DE348" s="104"/>
      <c r="DF348" s="104"/>
      <c r="DG348" s="104"/>
      <c r="DH348" s="104"/>
      <c r="DI348" s="104"/>
      <c r="DJ348" s="104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04"/>
      <c r="EZ348" s="104"/>
      <c r="FA348" s="104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  <c r="HO348" s="104"/>
      <c r="HP348" s="104"/>
      <c r="HQ348" s="104"/>
      <c r="HR348" s="104"/>
      <c r="HS348" s="104"/>
      <c r="HT348" s="104"/>
      <c r="HU348" s="104"/>
      <c r="HV348" s="104"/>
      <c r="HW348" s="104"/>
      <c r="HX348" s="104"/>
      <c r="HY348" s="104"/>
      <c r="HZ348" s="104"/>
      <c r="IA348" s="104"/>
      <c r="IB348" s="104"/>
      <c r="IC348" s="104"/>
      <c r="ID348" s="104"/>
      <c r="IE348" s="104"/>
      <c r="IF348" s="104"/>
      <c r="IG348" s="104"/>
      <c r="IH348" s="104"/>
      <c r="II348" s="104"/>
      <c r="IJ348" s="104"/>
      <c r="IK348" s="104"/>
      <c r="IL348" s="104"/>
      <c r="IM348" s="104"/>
      <c r="IN348" s="104"/>
      <c r="IO348" s="104"/>
      <c r="IP348" s="104"/>
      <c r="IQ348" s="104"/>
      <c r="IR348" s="104"/>
      <c r="IS348" s="104"/>
      <c r="IT348" s="104"/>
      <c r="IU348" s="104"/>
      <c r="IV348" s="104"/>
      <c r="IW348" s="104"/>
      <c r="IX348" s="104"/>
      <c r="IY348" s="104"/>
      <c r="IZ348" s="104"/>
      <c r="JA348" s="104"/>
    </row>
    <row r="349" spans="2:261" x14ac:dyDescent="0.2">
      <c r="B349" s="104"/>
      <c r="C349" s="104"/>
      <c r="D349" s="104"/>
      <c r="E349" s="104"/>
      <c r="F349" s="104"/>
      <c r="G349" s="104"/>
      <c r="H349" s="104"/>
      <c r="I349" s="104"/>
      <c r="J349" s="151"/>
      <c r="K349" s="104"/>
      <c r="L349" s="104"/>
      <c r="M349" s="104"/>
      <c r="N349" s="151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  <c r="IW349" s="104"/>
      <c r="IX349" s="104"/>
      <c r="IY349" s="104"/>
      <c r="IZ349" s="104"/>
      <c r="JA349" s="104"/>
    </row>
    <row r="350" spans="2:261" x14ac:dyDescent="0.2">
      <c r="B350" s="104"/>
      <c r="C350" s="104"/>
      <c r="D350" s="104"/>
      <c r="E350" s="104"/>
      <c r="F350" s="104"/>
      <c r="G350" s="104"/>
      <c r="H350" s="104"/>
      <c r="I350" s="104"/>
      <c r="J350" s="151"/>
      <c r="K350" s="104"/>
      <c r="L350" s="104"/>
      <c r="M350" s="104"/>
      <c r="N350" s="151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4"/>
      <c r="DB350" s="104"/>
      <c r="DC350" s="104"/>
      <c r="DD350" s="104"/>
      <c r="DE350" s="104"/>
      <c r="DF350" s="104"/>
      <c r="DG350" s="104"/>
      <c r="DH350" s="104"/>
      <c r="DI350" s="104"/>
      <c r="DJ350" s="104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04"/>
      <c r="EZ350" s="104"/>
      <c r="FA350" s="104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  <c r="HO350" s="104"/>
      <c r="HP350" s="104"/>
      <c r="HQ350" s="104"/>
      <c r="HR350" s="104"/>
      <c r="HS350" s="104"/>
      <c r="HT350" s="104"/>
      <c r="HU350" s="104"/>
      <c r="HV350" s="104"/>
      <c r="HW350" s="104"/>
      <c r="HX350" s="104"/>
      <c r="HY350" s="104"/>
      <c r="HZ350" s="104"/>
      <c r="IA350" s="104"/>
      <c r="IB350" s="104"/>
      <c r="IC350" s="104"/>
      <c r="ID350" s="104"/>
      <c r="IE350" s="104"/>
      <c r="IF350" s="104"/>
      <c r="IG350" s="104"/>
      <c r="IH350" s="104"/>
      <c r="II350" s="104"/>
      <c r="IJ350" s="104"/>
      <c r="IK350" s="104"/>
      <c r="IL350" s="104"/>
      <c r="IM350" s="104"/>
      <c r="IN350" s="104"/>
      <c r="IO350" s="104"/>
      <c r="IP350" s="104"/>
      <c r="IQ350" s="104"/>
      <c r="IR350" s="104"/>
      <c r="IS350" s="104"/>
      <c r="IT350" s="104"/>
      <c r="IU350" s="104"/>
      <c r="IV350" s="104"/>
      <c r="IW350" s="104"/>
      <c r="IX350" s="104"/>
      <c r="IY350" s="104"/>
      <c r="IZ350" s="104"/>
      <c r="JA350" s="104"/>
    </row>
    <row r="351" spans="2:261" x14ac:dyDescent="0.2">
      <c r="B351" s="104"/>
      <c r="C351" s="104"/>
      <c r="D351" s="104"/>
      <c r="E351" s="104"/>
      <c r="F351" s="104"/>
      <c r="G351" s="104"/>
      <c r="H351" s="104"/>
      <c r="I351" s="104"/>
      <c r="J351" s="151"/>
      <c r="K351" s="104"/>
      <c r="L351" s="104"/>
      <c r="M351" s="104"/>
      <c r="N351" s="151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4"/>
      <c r="DB351" s="104"/>
      <c r="DC351" s="104"/>
      <c r="DD351" s="104"/>
      <c r="DE351" s="104"/>
      <c r="DF351" s="104"/>
      <c r="DG351" s="104"/>
      <c r="DH351" s="104"/>
      <c r="DI351" s="104"/>
      <c r="DJ351" s="104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4"/>
      <c r="FA351" s="104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  <c r="HO351" s="104"/>
      <c r="HP351" s="104"/>
      <c r="HQ351" s="104"/>
      <c r="HR351" s="104"/>
      <c r="HS351" s="104"/>
      <c r="HT351" s="104"/>
      <c r="HU351" s="104"/>
      <c r="HV351" s="104"/>
      <c r="HW351" s="104"/>
      <c r="HX351" s="104"/>
      <c r="HY351" s="104"/>
      <c r="HZ351" s="104"/>
      <c r="IA351" s="104"/>
      <c r="IB351" s="104"/>
      <c r="IC351" s="104"/>
      <c r="ID351" s="104"/>
      <c r="IE351" s="104"/>
      <c r="IF351" s="104"/>
      <c r="IG351" s="104"/>
      <c r="IH351" s="104"/>
      <c r="II351" s="104"/>
      <c r="IJ351" s="104"/>
      <c r="IK351" s="104"/>
      <c r="IL351" s="104"/>
      <c r="IM351" s="104"/>
      <c r="IN351" s="104"/>
      <c r="IO351" s="104"/>
      <c r="IP351" s="104"/>
      <c r="IQ351" s="104"/>
      <c r="IR351" s="104"/>
      <c r="IS351" s="104"/>
      <c r="IT351" s="104"/>
      <c r="IU351" s="104"/>
      <c r="IV351" s="104"/>
      <c r="IW351" s="104"/>
      <c r="IX351" s="104"/>
      <c r="IY351" s="104"/>
      <c r="IZ351" s="104"/>
      <c r="JA351" s="104"/>
    </row>
    <row r="352" spans="2:261" x14ac:dyDescent="0.2">
      <c r="B352" s="104"/>
      <c r="C352" s="104"/>
      <c r="D352" s="104"/>
      <c r="E352" s="104"/>
      <c r="F352" s="104"/>
      <c r="G352" s="104"/>
      <c r="H352" s="104"/>
      <c r="I352" s="104"/>
      <c r="J352" s="151"/>
      <c r="K352" s="104"/>
      <c r="L352" s="104"/>
      <c r="M352" s="104"/>
      <c r="N352" s="151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4"/>
      <c r="DB352" s="104"/>
      <c r="DC352" s="104"/>
      <c r="DD352" s="104"/>
      <c r="DE352" s="104"/>
      <c r="DF352" s="104"/>
      <c r="DG352" s="104"/>
      <c r="DH352" s="104"/>
      <c r="DI352" s="104"/>
      <c r="DJ352" s="104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04"/>
      <c r="EZ352" s="104"/>
      <c r="FA352" s="104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  <c r="HO352" s="104"/>
      <c r="HP352" s="104"/>
      <c r="HQ352" s="104"/>
      <c r="HR352" s="104"/>
      <c r="HS352" s="104"/>
      <c r="HT352" s="104"/>
      <c r="HU352" s="104"/>
      <c r="HV352" s="104"/>
      <c r="HW352" s="104"/>
      <c r="HX352" s="104"/>
      <c r="HY352" s="104"/>
      <c r="HZ352" s="104"/>
      <c r="IA352" s="104"/>
      <c r="IB352" s="104"/>
      <c r="IC352" s="104"/>
      <c r="ID352" s="104"/>
      <c r="IE352" s="104"/>
      <c r="IF352" s="104"/>
      <c r="IG352" s="104"/>
      <c r="IH352" s="104"/>
      <c r="II352" s="104"/>
      <c r="IJ352" s="104"/>
      <c r="IK352" s="104"/>
      <c r="IL352" s="104"/>
      <c r="IM352" s="104"/>
      <c r="IN352" s="104"/>
      <c r="IO352" s="104"/>
      <c r="IP352" s="104"/>
      <c r="IQ352" s="104"/>
      <c r="IR352" s="104"/>
      <c r="IS352" s="104"/>
      <c r="IT352" s="104"/>
      <c r="IU352" s="104"/>
      <c r="IV352" s="104"/>
      <c r="IW352" s="104"/>
      <c r="IX352" s="104"/>
      <c r="IY352" s="104"/>
      <c r="IZ352" s="104"/>
      <c r="JA352" s="104"/>
    </row>
    <row r="353" spans="2:261" x14ac:dyDescent="0.2">
      <c r="B353" s="104"/>
      <c r="C353" s="104"/>
      <c r="D353" s="104"/>
      <c r="E353" s="104"/>
      <c r="F353" s="104"/>
      <c r="G353" s="104"/>
      <c r="H353" s="104"/>
      <c r="I353" s="104"/>
      <c r="J353" s="151"/>
      <c r="K353" s="104"/>
      <c r="L353" s="104"/>
      <c r="M353" s="104"/>
      <c r="N353" s="151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4"/>
      <c r="DB353" s="104"/>
      <c r="DC353" s="104"/>
      <c r="DD353" s="104"/>
      <c r="DE353" s="104"/>
      <c r="DF353" s="104"/>
      <c r="DG353" s="104"/>
      <c r="DH353" s="104"/>
      <c r="DI353" s="104"/>
      <c r="DJ353" s="104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04"/>
      <c r="EZ353" s="104"/>
      <c r="FA353" s="104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  <c r="HO353" s="104"/>
      <c r="HP353" s="104"/>
      <c r="HQ353" s="104"/>
      <c r="HR353" s="104"/>
      <c r="HS353" s="104"/>
      <c r="HT353" s="104"/>
      <c r="HU353" s="104"/>
      <c r="HV353" s="104"/>
      <c r="HW353" s="104"/>
      <c r="HX353" s="104"/>
      <c r="HY353" s="104"/>
      <c r="HZ353" s="104"/>
      <c r="IA353" s="104"/>
      <c r="IB353" s="104"/>
      <c r="IC353" s="104"/>
      <c r="ID353" s="104"/>
      <c r="IE353" s="104"/>
      <c r="IF353" s="104"/>
      <c r="IG353" s="104"/>
      <c r="IH353" s="104"/>
      <c r="II353" s="104"/>
      <c r="IJ353" s="104"/>
      <c r="IK353" s="104"/>
      <c r="IL353" s="104"/>
      <c r="IM353" s="104"/>
      <c r="IN353" s="104"/>
      <c r="IO353" s="104"/>
      <c r="IP353" s="104"/>
      <c r="IQ353" s="104"/>
      <c r="IR353" s="104"/>
      <c r="IS353" s="104"/>
      <c r="IT353" s="104"/>
      <c r="IU353" s="104"/>
      <c r="IV353" s="104"/>
      <c r="IW353" s="104"/>
      <c r="IX353" s="104"/>
      <c r="IY353" s="104"/>
      <c r="IZ353" s="104"/>
      <c r="JA353" s="104"/>
    </row>
    <row r="354" spans="2:261" x14ac:dyDescent="0.2">
      <c r="B354" s="104"/>
      <c r="C354" s="104"/>
      <c r="D354" s="104"/>
      <c r="E354" s="104"/>
      <c r="F354" s="104"/>
      <c r="G354" s="104"/>
      <c r="H354" s="104"/>
      <c r="I354" s="104"/>
      <c r="J354" s="151"/>
      <c r="K354" s="104"/>
      <c r="L354" s="104"/>
      <c r="M354" s="104"/>
      <c r="N354" s="151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4"/>
      <c r="DB354" s="104"/>
      <c r="DC354" s="104"/>
      <c r="DD354" s="104"/>
      <c r="DE354" s="104"/>
      <c r="DF354" s="104"/>
      <c r="DG354" s="104"/>
      <c r="DH354" s="104"/>
      <c r="DI354" s="104"/>
      <c r="DJ354" s="104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04"/>
      <c r="EZ354" s="104"/>
      <c r="FA354" s="104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  <c r="HO354" s="104"/>
      <c r="HP354" s="104"/>
      <c r="HQ354" s="104"/>
      <c r="HR354" s="104"/>
      <c r="HS354" s="104"/>
      <c r="HT354" s="104"/>
      <c r="HU354" s="104"/>
      <c r="HV354" s="104"/>
      <c r="HW354" s="104"/>
      <c r="HX354" s="104"/>
      <c r="HY354" s="104"/>
      <c r="HZ354" s="104"/>
      <c r="IA354" s="104"/>
      <c r="IB354" s="104"/>
      <c r="IC354" s="104"/>
      <c r="ID354" s="104"/>
      <c r="IE354" s="104"/>
      <c r="IF354" s="104"/>
      <c r="IG354" s="104"/>
      <c r="IH354" s="104"/>
      <c r="II354" s="104"/>
      <c r="IJ354" s="104"/>
      <c r="IK354" s="104"/>
      <c r="IL354" s="104"/>
      <c r="IM354" s="104"/>
      <c r="IN354" s="104"/>
      <c r="IO354" s="104"/>
      <c r="IP354" s="104"/>
      <c r="IQ354" s="104"/>
      <c r="IR354" s="104"/>
      <c r="IS354" s="104"/>
      <c r="IT354" s="104"/>
      <c r="IU354" s="104"/>
      <c r="IV354" s="104"/>
      <c r="IW354" s="104"/>
      <c r="IX354" s="104"/>
      <c r="IY354" s="104"/>
      <c r="IZ354" s="104"/>
      <c r="JA354" s="104"/>
    </row>
    <row r="355" spans="2:261" x14ac:dyDescent="0.2">
      <c r="B355" s="104"/>
      <c r="C355" s="104"/>
      <c r="D355" s="104"/>
      <c r="E355" s="104"/>
      <c r="F355" s="104"/>
      <c r="G355" s="104"/>
      <c r="H355" s="104"/>
      <c r="I355" s="104"/>
      <c r="J355" s="151"/>
      <c r="K355" s="104"/>
      <c r="L355" s="104"/>
      <c r="M355" s="104"/>
      <c r="N355" s="151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4"/>
      <c r="DB355" s="104"/>
      <c r="DC355" s="104"/>
      <c r="DD355" s="104"/>
      <c r="DE355" s="104"/>
      <c r="DF355" s="104"/>
      <c r="DG355" s="104"/>
      <c r="DH355" s="104"/>
      <c r="DI355" s="104"/>
      <c r="DJ355" s="104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4"/>
      <c r="FA355" s="104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  <c r="HO355" s="104"/>
      <c r="HP355" s="104"/>
      <c r="HQ355" s="104"/>
      <c r="HR355" s="104"/>
      <c r="HS355" s="104"/>
      <c r="HT355" s="104"/>
      <c r="HU355" s="104"/>
      <c r="HV355" s="104"/>
      <c r="HW355" s="104"/>
      <c r="HX355" s="104"/>
      <c r="HY355" s="104"/>
      <c r="HZ355" s="104"/>
      <c r="IA355" s="104"/>
      <c r="IB355" s="104"/>
      <c r="IC355" s="104"/>
      <c r="ID355" s="104"/>
      <c r="IE355" s="104"/>
      <c r="IF355" s="104"/>
      <c r="IG355" s="104"/>
      <c r="IH355" s="104"/>
      <c r="II355" s="104"/>
      <c r="IJ355" s="104"/>
      <c r="IK355" s="104"/>
      <c r="IL355" s="104"/>
      <c r="IM355" s="104"/>
      <c r="IN355" s="104"/>
      <c r="IO355" s="104"/>
      <c r="IP355" s="104"/>
      <c r="IQ355" s="104"/>
      <c r="IR355" s="104"/>
      <c r="IS355" s="104"/>
      <c r="IT355" s="104"/>
      <c r="IU355" s="104"/>
      <c r="IV355" s="104"/>
      <c r="IW355" s="104"/>
      <c r="IX355" s="104"/>
      <c r="IY355" s="104"/>
      <c r="IZ355" s="104"/>
      <c r="JA355" s="104"/>
    </row>
    <row r="356" spans="2:261" x14ac:dyDescent="0.2">
      <c r="B356" s="104"/>
      <c r="C356" s="104"/>
      <c r="D356" s="104"/>
      <c r="E356" s="104"/>
      <c r="F356" s="104"/>
      <c r="G356" s="104"/>
      <c r="H356" s="104"/>
      <c r="I356" s="104"/>
      <c r="J356" s="151"/>
      <c r="K356" s="104"/>
      <c r="L356" s="104"/>
      <c r="M356" s="104"/>
      <c r="N356" s="151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4"/>
      <c r="DB356" s="104"/>
      <c r="DC356" s="104"/>
      <c r="DD356" s="104"/>
      <c r="DE356" s="104"/>
      <c r="DF356" s="104"/>
      <c r="DG356" s="104"/>
      <c r="DH356" s="104"/>
      <c r="DI356" s="104"/>
      <c r="DJ356" s="104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04"/>
      <c r="EZ356" s="104"/>
      <c r="FA356" s="104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  <c r="HO356" s="104"/>
      <c r="HP356" s="104"/>
      <c r="HQ356" s="104"/>
      <c r="HR356" s="104"/>
      <c r="HS356" s="104"/>
      <c r="HT356" s="104"/>
      <c r="HU356" s="104"/>
      <c r="HV356" s="104"/>
      <c r="HW356" s="104"/>
      <c r="HX356" s="104"/>
      <c r="HY356" s="104"/>
      <c r="HZ356" s="104"/>
      <c r="IA356" s="104"/>
      <c r="IB356" s="104"/>
      <c r="IC356" s="104"/>
      <c r="ID356" s="104"/>
      <c r="IE356" s="104"/>
      <c r="IF356" s="104"/>
      <c r="IG356" s="104"/>
      <c r="IH356" s="104"/>
      <c r="II356" s="104"/>
      <c r="IJ356" s="104"/>
      <c r="IK356" s="104"/>
      <c r="IL356" s="104"/>
      <c r="IM356" s="104"/>
      <c r="IN356" s="104"/>
      <c r="IO356" s="104"/>
      <c r="IP356" s="104"/>
      <c r="IQ356" s="104"/>
      <c r="IR356" s="104"/>
      <c r="IS356" s="104"/>
      <c r="IT356" s="104"/>
      <c r="IU356" s="104"/>
      <c r="IV356" s="104"/>
      <c r="IW356" s="104"/>
      <c r="IX356" s="104"/>
      <c r="IY356" s="104"/>
      <c r="IZ356" s="104"/>
      <c r="JA356" s="104"/>
    </row>
    <row r="357" spans="2:261" x14ac:dyDescent="0.2">
      <c r="B357" s="104"/>
      <c r="C357" s="104"/>
      <c r="D357" s="104"/>
      <c r="E357" s="104"/>
      <c r="F357" s="104"/>
      <c r="G357" s="104"/>
      <c r="H357" s="104"/>
      <c r="I357" s="104"/>
      <c r="J357" s="151"/>
      <c r="K357" s="104"/>
      <c r="L357" s="104"/>
      <c r="M357" s="104"/>
      <c r="N357" s="151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4"/>
      <c r="DB357" s="104"/>
      <c r="DC357" s="104"/>
      <c r="DD357" s="104"/>
      <c r="DE357" s="104"/>
      <c r="DF357" s="104"/>
      <c r="DG357" s="104"/>
      <c r="DH357" s="104"/>
      <c r="DI357" s="104"/>
      <c r="DJ357" s="104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04"/>
      <c r="EZ357" s="104"/>
      <c r="FA357" s="104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  <c r="HO357" s="104"/>
      <c r="HP357" s="104"/>
      <c r="HQ357" s="104"/>
      <c r="HR357" s="104"/>
      <c r="HS357" s="104"/>
      <c r="HT357" s="104"/>
      <c r="HU357" s="104"/>
      <c r="HV357" s="104"/>
      <c r="HW357" s="104"/>
      <c r="HX357" s="104"/>
      <c r="HY357" s="104"/>
      <c r="HZ357" s="104"/>
      <c r="IA357" s="104"/>
      <c r="IB357" s="104"/>
      <c r="IC357" s="104"/>
      <c r="ID357" s="104"/>
      <c r="IE357" s="104"/>
      <c r="IF357" s="104"/>
      <c r="IG357" s="104"/>
      <c r="IH357" s="104"/>
      <c r="II357" s="104"/>
      <c r="IJ357" s="104"/>
      <c r="IK357" s="104"/>
      <c r="IL357" s="104"/>
      <c r="IM357" s="104"/>
      <c r="IN357" s="104"/>
      <c r="IO357" s="104"/>
      <c r="IP357" s="104"/>
      <c r="IQ357" s="104"/>
      <c r="IR357" s="104"/>
      <c r="IS357" s="104"/>
      <c r="IT357" s="104"/>
      <c r="IU357" s="104"/>
      <c r="IV357" s="104"/>
      <c r="IW357" s="104"/>
      <c r="IX357" s="104"/>
      <c r="IY357" s="104"/>
      <c r="IZ357" s="104"/>
      <c r="JA357" s="104"/>
    </row>
    <row r="358" spans="2:261" x14ac:dyDescent="0.2">
      <c r="B358" s="104"/>
      <c r="C358" s="104"/>
      <c r="D358" s="104"/>
      <c r="E358" s="104"/>
      <c r="F358" s="104"/>
      <c r="G358" s="104"/>
      <c r="H358" s="104"/>
      <c r="I358" s="104"/>
      <c r="J358" s="151"/>
      <c r="K358" s="104"/>
      <c r="L358" s="104"/>
      <c r="M358" s="104"/>
      <c r="N358" s="151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4"/>
      <c r="DB358" s="104"/>
      <c r="DC358" s="104"/>
      <c r="DD358" s="104"/>
      <c r="DE358" s="104"/>
      <c r="DF358" s="104"/>
      <c r="DG358" s="104"/>
      <c r="DH358" s="104"/>
      <c r="DI358" s="104"/>
      <c r="DJ358" s="104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04"/>
      <c r="EZ358" s="104"/>
      <c r="FA358" s="104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  <c r="HO358" s="104"/>
      <c r="HP358" s="104"/>
      <c r="HQ358" s="104"/>
      <c r="HR358" s="104"/>
      <c r="HS358" s="104"/>
      <c r="HT358" s="104"/>
      <c r="HU358" s="104"/>
      <c r="HV358" s="104"/>
      <c r="HW358" s="104"/>
      <c r="HX358" s="104"/>
      <c r="HY358" s="104"/>
      <c r="HZ358" s="104"/>
      <c r="IA358" s="104"/>
      <c r="IB358" s="104"/>
      <c r="IC358" s="104"/>
      <c r="ID358" s="104"/>
      <c r="IE358" s="104"/>
      <c r="IF358" s="104"/>
      <c r="IG358" s="104"/>
      <c r="IH358" s="104"/>
      <c r="II358" s="104"/>
      <c r="IJ358" s="104"/>
      <c r="IK358" s="104"/>
      <c r="IL358" s="104"/>
      <c r="IM358" s="104"/>
      <c r="IN358" s="104"/>
      <c r="IO358" s="104"/>
      <c r="IP358" s="104"/>
      <c r="IQ358" s="104"/>
      <c r="IR358" s="104"/>
      <c r="IS358" s="104"/>
      <c r="IT358" s="104"/>
      <c r="IU358" s="104"/>
      <c r="IV358" s="104"/>
      <c r="IW358" s="104"/>
      <c r="IX358" s="104"/>
      <c r="IY358" s="104"/>
      <c r="IZ358" s="104"/>
      <c r="JA358" s="104"/>
    </row>
    <row r="359" spans="2:261" x14ac:dyDescent="0.2">
      <c r="B359" s="104"/>
      <c r="C359" s="104"/>
      <c r="D359" s="104"/>
      <c r="E359" s="104"/>
      <c r="F359" s="104"/>
      <c r="G359" s="104"/>
      <c r="H359" s="104"/>
      <c r="I359" s="104"/>
      <c r="J359" s="151"/>
      <c r="K359" s="104"/>
      <c r="L359" s="104"/>
      <c r="M359" s="104"/>
      <c r="N359" s="151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4"/>
      <c r="DB359" s="104"/>
      <c r="DC359" s="104"/>
      <c r="DD359" s="104"/>
      <c r="DE359" s="104"/>
      <c r="DF359" s="104"/>
      <c r="DG359" s="104"/>
      <c r="DH359" s="104"/>
      <c r="DI359" s="104"/>
      <c r="DJ359" s="104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4"/>
      <c r="FA359" s="104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  <c r="HO359" s="104"/>
      <c r="HP359" s="104"/>
      <c r="HQ359" s="104"/>
      <c r="HR359" s="104"/>
      <c r="HS359" s="104"/>
      <c r="HT359" s="104"/>
      <c r="HU359" s="104"/>
      <c r="HV359" s="104"/>
      <c r="HW359" s="104"/>
      <c r="HX359" s="104"/>
      <c r="HY359" s="104"/>
      <c r="HZ359" s="104"/>
      <c r="IA359" s="104"/>
      <c r="IB359" s="104"/>
      <c r="IC359" s="104"/>
      <c r="ID359" s="104"/>
      <c r="IE359" s="104"/>
      <c r="IF359" s="104"/>
      <c r="IG359" s="104"/>
      <c r="IH359" s="104"/>
      <c r="II359" s="104"/>
      <c r="IJ359" s="104"/>
      <c r="IK359" s="104"/>
      <c r="IL359" s="104"/>
      <c r="IM359" s="104"/>
      <c r="IN359" s="104"/>
      <c r="IO359" s="104"/>
      <c r="IP359" s="104"/>
      <c r="IQ359" s="104"/>
      <c r="IR359" s="104"/>
      <c r="IS359" s="104"/>
      <c r="IT359" s="104"/>
      <c r="IU359" s="104"/>
      <c r="IV359" s="104"/>
      <c r="IW359" s="104"/>
      <c r="IX359" s="104"/>
      <c r="IY359" s="104"/>
      <c r="IZ359" s="104"/>
      <c r="JA359" s="104"/>
    </row>
    <row r="360" spans="2:261" x14ac:dyDescent="0.2">
      <c r="B360" s="104"/>
      <c r="C360" s="104"/>
      <c r="D360" s="104"/>
      <c r="E360" s="104"/>
      <c r="F360" s="104"/>
      <c r="G360" s="104"/>
      <c r="H360" s="104"/>
      <c r="I360" s="104"/>
      <c r="J360" s="151"/>
      <c r="K360" s="104"/>
      <c r="L360" s="104"/>
      <c r="M360" s="104"/>
      <c r="N360" s="151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  <c r="IQ360" s="104"/>
      <c r="IR360" s="104"/>
      <c r="IS360" s="104"/>
      <c r="IT360" s="104"/>
      <c r="IU360" s="104"/>
      <c r="IV360" s="104"/>
      <c r="IW360" s="104"/>
      <c r="IX360" s="104"/>
      <c r="IY360" s="104"/>
      <c r="IZ360" s="104"/>
      <c r="JA360" s="104"/>
    </row>
    <row r="361" spans="2:261" x14ac:dyDescent="0.2">
      <c r="B361" s="104"/>
      <c r="C361" s="104"/>
      <c r="D361" s="104"/>
      <c r="E361" s="104"/>
      <c r="F361" s="104"/>
      <c r="G361" s="104"/>
      <c r="H361" s="104"/>
      <c r="I361" s="104"/>
      <c r="J361" s="151"/>
      <c r="K361" s="104"/>
      <c r="L361" s="104"/>
      <c r="M361" s="104"/>
      <c r="N361" s="151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  <c r="IW361" s="104"/>
      <c r="IX361" s="104"/>
      <c r="IY361" s="104"/>
      <c r="IZ361" s="104"/>
      <c r="JA361" s="104"/>
    </row>
    <row r="362" spans="2:261" x14ac:dyDescent="0.2">
      <c r="B362" s="104"/>
      <c r="C362" s="104"/>
      <c r="D362" s="104"/>
      <c r="E362" s="104"/>
      <c r="F362" s="104"/>
      <c r="G362" s="104"/>
      <c r="H362" s="104"/>
      <c r="I362" s="104"/>
      <c r="J362" s="151"/>
      <c r="K362" s="104"/>
      <c r="L362" s="104"/>
      <c r="M362" s="104"/>
      <c r="N362" s="151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4"/>
      <c r="DB362" s="104"/>
      <c r="DC362" s="104"/>
      <c r="DD362" s="104"/>
      <c r="DE362" s="104"/>
      <c r="DF362" s="104"/>
      <c r="DG362" s="104"/>
      <c r="DH362" s="104"/>
      <c r="DI362" s="104"/>
      <c r="DJ362" s="104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04"/>
      <c r="EZ362" s="104"/>
      <c r="FA362" s="104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  <c r="HO362" s="104"/>
      <c r="HP362" s="104"/>
      <c r="HQ362" s="104"/>
      <c r="HR362" s="104"/>
      <c r="HS362" s="104"/>
      <c r="HT362" s="104"/>
      <c r="HU362" s="104"/>
      <c r="HV362" s="104"/>
      <c r="HW362" s="104"/>
      <c r="HX362" s="104"/>
      <c r="HY362" s="104"/>
      <c r="HZ362" s="104"/>
      <c r="IA362" s="104"/>
      <c r="IB362" s="104"/>
      <c r="IC362" s="104"/>
      <c r="ID362" s="104"/>
      <c r="IE362" s="104"/>
      <c r="IF362" s="104"/>
      <c r="IG362" s="104"/>
      <c r="IH362" s="104"/>
      <c r="II362" s="104"/>
      <c r="IJ362" s="104"/>
      <c r="IK362" s="104"/>
      <c r="IL362" s="104"/>
      <c r="IM362" s="104"/>
      <c r="IN362" s="104"/>
      <c r="IO362" s="104"/>
      <c r="IP362" s="104"/>
      <c r="IQ362" s="104"/>
      <c r="IR362" s="104"/>
      <c r="IS362" s="104"/>
      <c r="IT362" s="104"/>
      <c r="IU362" s="104"/>
      <c r="IV362" s="104"/>
      <c r="IW362" s="104"/>
      <c r="IX362" s="104"/>
      <c r="IY362" s="104"/>
      <c r="IZ362" s="104"/>
      <c r="JA362" s="104"/>
    </row>
    <row r="363" spans="2:261" x14ac:dyDescent="0.2">
      <c r="B363" s="104"/>
      <c r="C363" s="104"/>
      <c r="D363" s="104"/>
      <c r="E363" s="104"/>
      <c r="F363" s="104"/>
      <c r="G363" s="104"/>
      <c r="H363" s="104"/>
      <c r="I363" s="104"/>
      <c r="J363" s="151"/>
      <c r="K363" s="104"/>
      <c r="L363" s="104"/>
      <c r="M363" s="104"/>
      <c r="N363" s="151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4"/>
      <c r="FA363" s="104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  <c r="HO363" s="104"/>
      <c r="HP363" s="104"/>
      <c r="HQ363" s="104"/>
      <c r="HR363" s="104"/>
      <c r="HS363" s="104"/>
      <c r="HT363" s="104"/>
      <c r="HU363" s="104"/>
      <c r="HV363" s="104"/>
      <c r="HW363" s="104"/>
      <c r="HX363" s="104"/>
      <c r="HY363" s="104"/>
      <c r="HZ363" s="104"/>
      <c r="IA363" s="104"/>
      <c r="IB363" s="104"/>
      <c r="IC363" s="104"/>
      <c r="ID363" s="104"/>
      <c r="IE363" s="104"/>
      <c r="IF363" s="104"/>
      <c r="IG363" s="104"/>
      <c r="IH363" s="104"/>
      <c r="II363" s="104"/>
      <c r="IJ363" s="104"/>
      <c r="IK363" s="104"/>
      <c r="IL363" s="104"/>
      <c r="IM363" s="104"/>
      <c r="IN363" s="104"/>
      <c r="IO363" s="104"/>
      <c r="IP363" s="104"/>
      <c r="IQ363" s="104"/>
      <c r="IR363" s="104"/>
      <c r="IS363" s="104"/>
      <c r="IT363" s="104"/>
      <c r="IU363" s="104"/>
      <c r="IV363" s="104"/>
      <c r="IW363" s="104"/>
      <c r="IX363" s="104"/>
      <c r="IY363" s="104"/>
      <c r="IZ363" s="104"/>
      <c r="JA363" s="104"/>
    </row>
    <row r="364" spans="2:261" x14ac:dyDescent="0.2">
      <c r="B364" s="104"/>
      <c r="C364" s="104"/>
      <c r="D364" s="104"/>
      <c r="E364" s="104"/>
      <c r="F364" s="104"/>
      <c r="G364" s="104"/>
      <c r="H364" s="104"/>
      <c r="I364" s="104"/>
      <c r="J364" s="151"/>
      <c r="K364" s="104"/>
      <c r="L364" s="104"/>
      <c r="M364" s="104"/>
      <c r="N364" s="151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04"/>
      <c r="EZ364" s="104"/>
      <c r="FA364" s="104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  <c r="HO364" s="104"/>
      <c r="HP364" s="104"/>
      <c r="HQ364" s="104"/>
      <c r="HR364" s="104"/>
      <c r="HS364" s="104"/>
      <c r="HT364" s="104"/>
      <c r="HU364" s="104"/>
      <c r="HV364" s="104"/>
      <c r="HW364" s="104"/>
      <c r="HX364" s="104"/>
      <c r="HY364" s="104"/>
      <c r="HZ364" s="104"/>
      <c r="IA364" s="104"/>
      <c r="IB364" s="104"/>
      <c r="IC364" s="104"/>
      <c r="ID364" s="104"/>
      <c r="IE364" s="104"/>
      <c r="IF364" s="104"/>
      <c r="IG364" s="104"/>
      <c r="IH364" s="104"/>
      <c r="II364" s="104"/>
      <c r="IJ364" s="104"/>
      <c r="IK364" s="104"/>
      <c r="IL364" s="104"/>
      <c r="IM364" s="104"/>
      <c r="IN364" s="104"/>
      <c r="IO364" s="104"/>
      <c r="IP364" s="104"/>
      <c r="IQ364" s="104"/>
      <c r="IR364" s="104"/>
      <c r="IS364" s="104"/>
      <c r="IT364" s="104"/>
      <c r="IU364" s="104"/>
      <c r="IV364" s="104"/>
      <c r="IW364" s="104"/>
      <c r="IX364" s="104"/>
      <c r="IY364" s="104"/>
      <c r="IZ364" s="104"/>
      <c r="JA364" s="104"/>
    </row>
    <row r="365" spans="2:261" x14ac:dyDescent="0.2"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  <c r="HO365" s="104"/>
      <c r="HP365" s="104"/>
      <c r="HQ365" s="104"/>
      <c r="HR365" s="104"/>
      <c r="HS365" s="104"/>
      <c r="HT365" s="104"/>
      <c r="HU365" s="104"/>
      <c r="HV365" s="104"/>
      <c r="HW365" s="104"/>
      <c r="HX365" s="104"/>
      <c r="HY365" s="104"/>
      <c r="HZ365" s="104"/>
      <c r="IA365" s="104"/>
      <c r="IB365" s="104"/>
      <c r="IC365" s="104"/>
      <c r="ID365" s="104"/>
      <c r="IE365" s="104"/>
      <c r="IF365" s="104"/>
      <c r="IG365" s="104"/>
      <c r="IH365" s="104"/>
      <c r="II365" s="104"/>
      <c r="IJ365" s="104"/>
      <c r="IK365" s="104"/>
      <c r="IL365" s="104"/>
      <c r="IM365" s="104"/>
      <c r="IN365" s="104"/>
      <c r="IO365" s="104"/>
      <c r="IP365" s="104"/>
      <c r="IQ365" s="104"/>
      <c r="IR365" s="104"/>
      <c r="IS365" s="104"/>
      <c r="IT365" s="104"/>
      <c r="IU365" s="104"/>
      <c r="IV365" s="104"/>
      <c r="IW365" s="104"/>
      <c r="IX365" s="104"/>
      <c r="IY365" s="104"/>
      <c r="IZ365" s="104"/>
      <c r="JA365" s="104"/>
    </row>
    <row r="366" spans="2:261" x14ac:dyDescent="0.2"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  <c r="HO366" s="104"/>
      <c r="HP366" s="104"/>
      <c r="HQ366" s="104"/>
      <c r="HR366" s="104"/>
      <c r="HS366" s="104"/>
      <c r="HT366" s="104"/>
      <c r="HU366" s="104"/>
      <c r="HV366" s="104"/>
      <c r="HW366" s="104"/>
      <c r="HX366" s="104"/>
      <c r="HY366" s="104"/>
      <c r="HZ366" s="104"/>
      <c r="IA366" s="104"/>
      <c r="IB366" s="104"/>
      <c r="IC366" s="104"/>
      <c r="ID366" s="104"/>
      <c r="IE366" s="104"/>
      <c r="IF366" s="104"/>
      <c r="IG366" s="104"/>
      <c r="IH366" s="104"/>
      <c r="II366" s="104"/>
      <c r="IJ366" s="104"/>
      <c r="IK366" s="104"/>
      <c r="IL366" s="104"/>
      <c r="IM366" s="104"/>
      <c r="IN366" s="104"/>
      <c r="IO366" s="104"/>
      <c r="IP366" s="104"/>
      <c r="IQ366" s="104"/>
      <c r="IR366" s="104"/>
      <c r="IS366" s="104"/>
      <c r="IT366" s="104"/>
      <c r="IU366" s="104"/>
      <c r="IV366" s="104"/>
      <c r="IW366" s="104"/>
      <c r="IX366" s="104"/>
      <c r="IY366" s="104"/>
      <c r="IZ366" s="104"/>
      <c r="JA366" s="104"/>
    </row>
    <row r="367" spans="2:261" x14ac:dyDescent="0.2"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  <c r="HO367" s="104"/>
      <c r="HP367" s="104"/>
      <c r="HQ367" s="104"/>
      <c r="HR367" s="104"/>
      <c r="HS367" s="104"/>
      <c r="HT367" s="104"/>
      <c r="HU367" s="104"/>
      <c r="HV367" s="104"/>
      <c r="HW367" s="104"/>
      <c r="HX367" s="104"/>
      <c r="HY367" s="104"/>
      <c r="HZ367" s="104"/>
      <c r="IA367" s="104"/>
      <c r="IB367" s="104"/>
      <c r="IC367" s="104"/>
      <c r="ID367" s="104"/>
      <c r="IE367" s="104"/>
      <c r="IF367" s="104"/>
      <c r="IG367" s="104"/>
      <c r="IH367" s="104"/>
      <c r="II367" s="104"/>
      <c r="IJ367" s="104"/>
      <c r="IK367" s="104"/>
      <c r="IL367" s="104"/>
      <c r="IM367" s="104"/>
      <c r="IN367" s="104"/>
      <c r="IO367" s="104"/>
      <c r="IP367" s="104"/>
      <c r="IQ367" s="104"/>
      <c r="IR367" s="104"/>
      <c r="IS367" s="104"/>
      <c r="IT367" s="104"/>
      <c r="IU367" s="104"/>
      <c r="IV367" s="104"/>
      <c r="IW367" s="104"/>
      <c r="IX367" s="104"/>
      <c r="IY367" s="104"/>
      <c r="IZ367" s="104"/>
      <c r="JA367" s="104"/>
    </row>
    <row r="368" spans="2:261" x14ac:dyDescent="0.2"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  <c r="HO368" s="104"/>
      <c r="HP368" s="104"/>
      <c r="HQ368" s="104"/>
      <c r="HR368" s="104"/>
      <c r="HS368" s="104"/>
      <c r="HT368" s="104"/>
      <c r="HU368" s="104"/>
      <c r="HV368" s="104"/>
      <c r="HW368" s="104"/>
      <c r="HX368" s="104"/>
      <c r="HY368" s="104"/>
      <c r="HZ368" s="104"/>
      <c r="IA368" s="104"/>
      <c r="IB368" s="104"/>
      <c r="IC368" s="104"/>
      <c r="ID368" s="104"/>
      <c r="IE368" s="104"/>
      <c r="IF368" s="104"/>
      <c r="IG368" s="104"/>
      <c r="IH368" s="104"/>
      <c r="II368" s="104"/>
      <c r="IJ368" s="104"/>
      <c r="IK368" s="104"/>
      <c r="IL368" s="104"/>
      <c r="IM368" s="104"/>
      <c r="IN368" s="104"/>
      <c r="IO368" s="104"/>
      <c r="IP368" s="104"/>
      <c r="IQ368" s="104"/>
      <c r="IR368" s="104"/>
      <c r="IS368" s="104"/>
      <c r="IT368" s="104"/>
      <c r="IU368" s="104"/>
      <c r="IV368" s="104"/>
      <c r="IW368" s="104"/>
      <c r="IX368" s="104"/>
      <c r="IY368" s="104"/>
      <c r="IZ368" s="104"/>
      <c r="JA368" s="104"/>
    </row>
    <row r="369" spans="61:261" x14ac:dyDescent="0.2">
      <c r="BI369" s="104"/>
      <c r="BJ369" s="104"/>
      <c r="BK369" s="104"/>
      <c r="BL369" s="104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  <c r="HO369" s="104"/>
      <c r="HP369" s="104"/>
      <c r="HQ369" s="104"/>
      <c r="HR369" s="104"/>
      <c r="HS369" s="104"/>
      <c r="HT369" s="104"/>
      <c r="HU369" s="104"/>
      <c r="HV369" s="104"/>
      <c r="HW369" s="104"/>
      <c r="HX369" s="104"/>
      <c r="HY369" s="104"/>
      <c r="HZ369" s="104"/>
      <c r="IA369" s="104"/>
      <c r="IB369" s="104"/>
      <c r="IC369" s="104"/>
      <c r="ID369" s="104"/>
      <c r="IE369" s="104"/>
      <c r="IF369" s="104"/>
      <c r="IG369" s="104"/>
      <c r="IH369" s="104"/>
      <c r="II369" s="104"/>
      <c r="IJ369" s="104"/>
      <c r="IK369" s="104"/>
      <c r="IL369" s="104"/>
      <c r="IM369" s="104"/>
      <c r="IN369" s="104"/>
      <c r="IO369" s="104"/>
      <c r="IP369" s="104"/>
      <c r="IQ369" s="104"/>
      <c r="IR369" s="104"/>
      <c r="IS369" s="104"/>
      <c r="IT369" s="104"/>
      <c r="IU369" s="104"/>
      <c r="IV369" s="104"/>
      <c r="IW369" s="104"/>
      <c r="IX369" s="104"/>
      <c r="IY369" s="104"/>
      <c r="IZ369" s="104"/>
      <c r="JA369" s="104"/>
    </row>
    <row r="370" spans="61:261" x14ac:dyDescent="0.2">
      <c r="BI370" s="104"/>
      <c r="BJ370" s="104"/>
      <c r="BK370" s="104"/>
      <c r="BL370" s="104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  <c r="HO370" s="104"/>
      <c r="HP370" s="104"/>
      <c r="HQ370" s="104"/>
      <c r="HR370" s="104"/>
      <c r="HS370" s="104"/>
      <c r="HT370" s="104"/>
      <c r="HU370" s="104"/>
      <c r="HV370" s="104"/>
      <c r="HW370" s="104"/>
      <c r="HX370" s="104"/>
      <c r="HY370" s="104"/>
      <c r="HZ370" s="104"/>
      <c r="IA370" s="104"/>
      <c r="IB370" s="104"/>
      <c r="IC370" s="104"/>
      <c r="ID370" s="104"/>
      <c r="IE370" s="104"/>
      <c r="IF370" s="104"/>
      <c r="IG370" s="104"/>
      <c r="IH370" s="104"/>
      <c r="II370" s="104"/>
      <c r="IJ370" s="104"/>
      <c r="IK370" s="104"/>
      <c r="IL370" s="104"/>
      <c r="IM370" s="104"/>
      <c r="IN370" s="104"/>
      <c r="IO370" s="104"/>
      <c r="IP370" s="104"/>
      <c r="IQ370" s="104"/>
      <c r="IR370" s="104"/>
      <c r="IS370" s="104"/>
      <c r="IT370" s="104"/>
      <c r="IU370" s="104"/>
      <c r="IV370" s="104"/>
      <c r="IW370" s="104"/>
      <c r="IX370" s="104"/>
      <c r="IY370" s="104"/>
      <c r="IZ370" s="104"/>
      <c r="JA370" s="104"/>
    </row>
    <row r="371" spans="61:261" x14ac:dyDescent="0.2"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  <c r="HO371" s="104"/>
      <c r="HP371" s="104"/>
      <c r="HQ371" s="104"/>
      <c r="HR371" s="104"/>
      <c r="HS371" s="104"/>
      <c r="HT371" s="104"/>
      <c r="HU371" s="104"/>
      <c r="HV371" s="104"/>
      <c r="HW371" s="104"/>
      <c r="HX371" s="104"/>
      <c r="HY371" s="104"/>
      <c r="HZ371" s="104"/>
      <c r="IA371" s="104"/>
      <c r="IB371" s="104"/>
      <c r="IC371" s="104"/>
      <c r="ID371" s="104"/>
      <c r="IE371" s="104"/>
      <c r="IF371" s="104"/>
      <c r="IG371" s="104"/>
      <c r="IH371" s="104"/>
      <c r="II371" s="104"/>
      <c r="IJ371" s="104"/>
      <c r="IK371" s="104"/>
      <c r="IL371" s="104"/>
      <c r="IM371" s="104"/>
      <c r="IN371" s="104"/>
      <c r="IO371" s="104"/>
      <c r="IP371" s="104"/>
      <c r="IQ371" s="104"/>
      <c r="IR371" s="104"/>
      <c r="IS371" s="104"/>
      <c r="IT371" s="104"/>
      <c r="IU371" s="104"/>
      <c r="IV371" s="104"/>
      <c r="IW371" s="104"/>
      <c r="IX371" s="104"/>
      <c r="IY371" s="104"/>
      <c r="IZ371" s="104"/>
      <c r="JA371" s="104"/>
    </row>
    <row r="372" spans="61:261" x14ac:dyDescent="0.2"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  <c r="IW372" s="104"/>
      <c r="IX372" s="104"/>
      <c r="IY372" s="104"/>
      <c r="IZ372" s="104"/>
      <c r="JA372" s="104"/>
    </row>
    <row r="373" spans="61:261" x14ac:dyDescent="0.2"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  <c r="IW373" s="104"/>
      <c r="IX373" s="104"/>
      <c r="IY373" s="104"/>
      <c r="IZ373" s="104"/>
      <c r="JA373" s="104"/>
    </row>
    <row r="374" spans="61:261" x14ac:dyDescent="0.2"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  <c r="HO374" s="104"/>
      <c r="HP374" s="104"/>
      <c r="HQ374" s="104"/>
      <c r="HR374" s="104"/>
      <c r="HS374" s="104"/>
      <c r="HT374" s="104"/>
      <c r="HU374" s="104"/>
      <c r="HV374" s="104"/>
      <c r="HW374" s="104"/>
      <c r="HX374" s="104"/>
      <c r="HY374" s="104"/>
      <c r="HZ374" s="104"/>
      <c r="IA374" s="104"/>
      <c r="IB374" s="104"/>
      <c r="IC374" s="104"/>
      <c r="ID374" s="104"/>
      <c r="IE374" s="104"/>
      <c r="IF374" s="104"/>
      <c r="IG374" s="104"/>
      <c r="IH374" s="104"/>
      <c r="II374" s="104"/>
      <c r="IJ374" s="104"/>
      <c r="IK374" s="104"/>
      <c r="IL374" s="104"/>
      <c r="IM374" s="104"/>
      <c r="IN374" s="104"/>
      <c r="IO374" s="104"/>
      <c r="IP374" s="104"/>
      <c r="IQ374" s="104"/>
      <c r="IR374" s="104"/>
      <c r="IS374" s="104"/>
      <c r="IT374" s="104"/>
      <c r="IU374" s="104"/>
      <c r="IV374" s="104"/>
      <c r="IW374" s="104"/>
      <c r="IX374" s="104"/>
      <c r="IY374" s="104"/>
      <c r="IZ374" s="104"/>
      <c r="JA374" s="104"/>
    </row>
    <row r="375" spans="61:261" x14ac:dyDescent="0.2">
      <c r="BI375" s="104"/>
      <c r="BJ375" s="104"/>
      <c r="BK375" s="104"/>
      <c r="BL375" s="104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  <c r="HO375" s="104"/>
      <c r="HP375" s="104"/>
      <c r="HQ375" s="104"/>
      <c r="HR375" s="104"/>
      <c r="HS375" s="104"/>
      <c r="HT375" s="104"/>
      <c r="HU375" s="104"/>
      <c r="HV375" s="104"/>
      <c r="HW375" s="104"/>
      <c r="HX375" s="104"/>
      <c r="HY375" s="104"/>
      <c r="HZ375" s="104"/>
      <c r="IA375" s="104"/>
      <c r="IB375" s="104"/>
      <c r="IC375" s="104"/>
      <c r="ID375" s="104"/>
      <c r="IE375" s="104"/>
      <c r="IF375" s="104"/>
      <c r="IG375" s="104"/>
      <c r="IH375" s="104"/>
      <c r="II375" s="104"/>
      <c r="IJ375" s="104"/>
      <c r="IK375" s="104"/>
      <c r="IL375" s="104"/>
      <c r="IM375" s="104"/>
      <c r="IN375" s="104"/>
      <c r="IO375" s="104"/>
      <c r="IP375" s="104"/>
      <c r="IQ375" s="104"/>
      <c r="IR375" s="104"/>
      <c r="IS375" s="104"/>
      <c r="IT375" s="104"/>
      <c r="IU375" s="104"/>
      <c r="IV375" s="104"/>
      <c r="IW375" s="104"/>
      <c r="IX375" s="104"/>
      <c r="IY375" s="104"/>
      <c r="IZ375" s="104"/>
      <c r="JA375" s="104"/>
    </row>
    <row r="376" spans="61:261" x14ac:dyDescent="0.2">
      <c r="BI376" s="104"/>
      <c r="BJ376" s="104"/>
      <c r="BK376" s="104"/>
      <c r="BL376" s="104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  <c r="HO376" s="104"/>
      <c r="HP376" s="104"/>
      <c r="HQ376" s="104"/>
      <c r="HR376" s="104"/>
      <c r="HS376" s="104"/>
      <c r="HT376" s="104"/>
      <c r="HU376" s="104"/>
      <c r="HV376" s="104"/>
      <c r="HW376" s="104"/>
      <c r="HX376" s="104"/>
      <c r="HY376" s="104"/>
      <c r="HZ376" s="104"/>
      <c r="IA376" s="104"/>
      <c r="IB376" s="104"/>
      <c r="IC376" s="104"/>
      <c r="ID376" s="104"/>
      <c r="IE376" s="104"/>
      <c r="IF376" s="104"/>
      <c r="IG376" s="104"/>
      <c r="IH376" s="104"/>
      <c r="II376" s="104"/>
      <c r="IJ376" s="104"/>
      <c r="IK376" s="104"/>
      <c r="IL376" s="104"/>
      <c r="IM376" s="104"/>
      <c r="IN376" s="104"/>
      <c r="IO376" s="104"/>
      <c r="IP376" s="104"/>
      <c r="IQ376" s="104"/>
      <c r="IR376" s="104"/>
      <c r="IS376" s="104"/>
      <c r="IT376" s="104"/>
      <c r="IU376" s="104"/>
      <c r="IV376" s="104"/>
      <c r="IW376" s="104"/>
      <c r="IX376" s="104"/>
      <c r="IY376" s="104"/>
      <c r="IZ376" s="104"/>
      <c r="JA376" s="104"/>
    </row>
    <row r="377" spans="61:261" x14ac:dyDescent="0.2">
      <c r="BI377" s="104"/>
      <c r="BJ377" s="104"/>
      <c r="BK377" s="104"/>
      <c r="BL377" s="104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  <c r="HO377" s="104"/>
      <c r="HP377" s="104"/>
      <c r="HQ377" s="104"/>
      <c r="HR377" s="104"/>
      <c r="HS377" s="104"/>
      <c r="HT377" s="104"/>
      <c r="HU377" s="104"/>
      <c r="HV377" s="104"/>
      <c r="HW377" s="104"/>
      <c r="HX377" s="104"/>
      <c r="HY377" s="104"/>
      <c r="HZ377" s="104"/>
      <c r="IA377" s="104"/>
      <c r="IB377" s="104"/>
      <c r="IC377" s="104"/>
      <c r="ID377" s="104"/>
      <c r="IE377" s="104"/>
      <c r="IF377" s="104"/>
      <c r="IG377" s="104"/>
      <c r="IH377" s="104"/>
      <c r="II377" s="104"/>
      <c r="IJ377" s="104"/>
      <c r="IK377" s="104"/>
      <c r="IL377" s="104"/>
      <c r="IM377" s="104"/>
      <c r="IN377" s="104"/>
      <c r="IO377" s="104"/>
      <c r="IP377" s="104"/>
      <c r="IQ377" s="104"/>
      <c r="IR377" s="104"/>
      <c r="IS377" s="104"/>
      <c r="IT377" s="104"/>
      <c r="IU377" s="104"/>
      <c r="IV377" s="104"/>
      <c r="IW377" s="104"/>
      <c r="IX377" s="104"/>
      <c r="IY377" s="104"/>
      <c r="IZ377" s="104"/>
      <c r="JA377" s="104"/>
    </row>
    <row r="378" spans="61:261" x14ac:dyDescent="0.2">
      <c r="BI378" s="104"/>
      <c r="BJ378" s="104"/>
      <c r="BK378" s="104"/>
      <c r="BL378" s="104"/>
      <c r="BM378" s="104"/>
      <c r="BN378" s="104"/>
      <c r="BO378" s="104"/>
      <c r="BP378" s="104"/>
      <c r="BQ378" s="104"/>
      <c r="BR378" s="104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4"/>
      <c r="DB378" s="104"/>
      <c r="DC378" s="104"/>
      <c r="DD378" s="104"/>
      <c r="DE378" s="104"/>
      <c r="DF378" s="104"/>
      <c r="DG378" s="104"/>
      <c r="DH378" s="104"/>
      <c r="DI378" s="104"/>
      <c r="DJ378" s="104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04"/>
      <c r="EZ378" s="104"/>
      <c r="FA378" s="104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  <c r="HO378" s="104"/>
      <c r="HP378" s="104"/>
      <c r="HQ378" s="104"/>
      <c r="HR378" s="104"/>
      <c r="HS378" s="104"/>
      <c r="HT378" s="104"/>
      <c r="HU378" s="104"/>
      <c r="HV378" s="104"/>
      <c r="HW378" s="104"/>
      <c r="HX378" s="104"/>
      <c r="HY378" s="104"/>
      <c r="HZ378" s="104"/>
      <c r="IA378" s="104"/>
      <c r="IB378" s="104"/>
      <c r="IC378" s="104"/>
      <c r="ID378" s="104"/>
      <c r="IE378" s="104"/>
      <c r="IF378" s="104"/>
      <c r="IG378" s="104"/>
      <c r="IH378" s="104"/>
      <c r="II378" s="104"/>
      <c r="IJ378" s="104"/>
      <c r="IK378" s="104"/>
      <c r="IL378" s="104"/>
      <c r="IM378" s="104"/>
      <c r="IN378" s="104"/>
      <c r="IO378" s="104"/>
      <c r="IP378" s="104"/>
      <c r="IQ378" s="104"/>
      <c r="IR378" s="104"/>
      <c r="IS378" s="104"/>
      <c r="IT378" s="104"/>
      <c r="IU378" s="104"/>
      <c r="IV378" s="104"/>
      <c r="IW378" s="104"/>
      <c r="IX378" s="104"/>
      <c r="IY378" s="104"/>
      <c r="IZ378" s="104"/>
      <c r="JA378" s="104"/>
    </row>
    <row r="379" spans="61:261" x14ac:dyDescent="0.2">
      <c r="BI379" s="104"/>
      <c r="BJ379" s="104"/>
      <c r="BK379" s="104"/>
      <c r="BL379" s="104"/>
      <c r="BM379" s="104"/>
      <c r="BN379" s="104"/>
      <c r="BO379" s="104"/>
      <c r="BP379" s="104"/>
      <c r="BQ379" s="104"/>
      <c r="BR379" s="104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4"/>
      <c r="DB379" s="104"/>
      <c r="DC379" s="104"/>
      <c r="DD379" s="104"/>
      <c r="DE379" s="104"/>
      <c r="DF379" s="104"/>
      <c r="DG379" s="104"/>
      <c r="DH379" s="104"/>
      <c r="DI379" s="104"/>
      <c r="DJ379" s="104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04"/>
      <c r="EZ379" s="104"/>
      <c r="FA379" s="104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  <c r="HO379" s="104"/>
      <c r="HP379" s="104"/>
      <c r="HQ379" s="104"/>
      <c r="HR379" s="104"/>
      <c r="HS379" s="104"/>
      <c r="HT379" s="104"/>
      <c r="HU379" s="104"/>
      <c r="HV379" s="104"/>
      <c r="HW379" s="104"/>
      <c r="HX379" s="104"/>
      <c r="HY379" s="104"/>
      <c r="HZ379" s="104"/>
      <c r="IA379" s="104"/>
      <c r="IB379" s="104"/>
      <c r="IC379" s="104"/>
      <c r="ID379" s="104"/>
      <c r="IE379" s="104"/>
      <c r="IF379" s="104"/>
      <c r="IG379" s="104"/>
      <c r="IH379" s="104"/>
      <c r="II379" s="104"/>
      <c r="IJ379" s="104"/>
      <c r="IK379" s="104"/>
      <c r="IL379" s="104"/>
      <c r="IM379" s="104"/>
      <c r="IN379" s="104"/>
      <c r="IO379" s="104"/>
      <c r="IP379" s="104"/>
      <c r="IQ379" s="104"/>
      <c r="IR379" s="104"/>
      <c r="IS379" s="104"/>
      <c r="IT379" s="104"/>
      <c r="IU379" s="104"/>
      <c r="IV379" s="104"/>
      <c r="IW379" s="104"/>
      <c r="IX379" s="104"/>
      <c r="IY379" s="104"/>
      <c r="IZ379" s="104"/>
      <c r="JA379" s="104"/>
    </row>
    <row r="380" spans="61:261" x14ac:dyDescent="0.2"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04"/>
      <c r="EZ380" s="104"/>
      <c r="FA380" s="104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  <c r="HO380" s="104"/>
      <c r="HP380" s="104"/>
      <c r="HQ380" s="104"/>
      <c r="HR380" s="104"/>
      <c r="HS380" s="104"/>
      <c r="HT380" s="104"/>
      <c r="HU380" s="104"/>
      <c r="HV380" s="104"/>
      <c r="HW380" s="104"/>
      <c r="HX380" s="104"/>
      <c r="HY380" s="104"/>
      <c r="HZ380" s="104"/>
      <c r="IA380" s="104"/>
      <c r="IB380" s="104"/>
      <c r="IC380" s="104"/>
      <c r="ID380" s="104"/>
      <c r="IE380" s="104"/>
      <c r="IF380" s="104"/>
      <c r="IG380" s="104"/>
      <c r="IH380" s="104"/>
      <c r="II380" s="104"/>
      <c r="IJ380" s="104"/>
      <c r="IK380" s="104"/>
      <c r="IL380" s="104"/>
      <c r="IM380" s="104"/>
      <c r="IN380" s="104"/>
      <c r="IO380" s="104"/>
      <c r="IP380" s="104"/>
      <c r="IQ380" s="104"/>
      <c r="IR380" s="104"/>
      <c r="IS380" s="104"/>
      <c r="IT380" s="104"/>
      <c r="IU380" s="104"/>
      <c r="IV380" s="104"/>
      <c r="IW380" s="104"/>
      <c r="IX380" s="104"/>
      <c r="IY380" s="104"/>
      <c r="IZ380" s="104"/>
      <c r="JA380" s="104"/>
    </row>
    <row r="381" spans="61:261" x14ac:dyDescent="0.2">
      <c r="BI381" s="104"/>
      <c r="BJ381" s="104"/>
      <c r="BK381" s="104"/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  <c r="HO381" s="104"/>
      <c r="HP381" s="104"/>
      <c r="HQ381" s="104"/>
      <c r="HR381" s="104"/>
      <c r="HS381" s="104"/>
      <c r="HT381" s="104"/>
      <c r="HU381" s="104"/>
      <c r="HV381" s="104"/>
      <c r="HW381" s="104"/>
      <c r="HX381" s="104"/>
      <c r="HY381" s="104"/>
      <c r="HZ381" s="104"/>
      <c r="IA381" s="104"/>
      <c r="IB381" s="104"/>
      <c r="IC381" s="104"/>
      <c r="ID381" s="104"/>
      <c r="IE381" s="104"/>
      <c r="IF381" s="104"/>
      <c r="IG381" s="104"/>
      <c r="IH381" s="104"/>
      <c r="II381" s="104"/>
      <c r="IJ381" s="104"/>
      <c r="IK381" s="104"/>
      <c r="IL381" s="104"/>
      <c r="IM381" s="104"/>
      <c r="IN381" s="104"/>
      <c r="IO381" s="104"/>
      <c r="IP381" s="104"/>
      <c r="IQ381" s="104"/>
      <c r="IR381" s="104"/>
      <c r="IS381" s="104"/>
      <c r="IT381" s="104"/>
      <c r="IU381" s="104"/>
      <c r="IV381" s="104"/>
      <c r="IW381" s="104"/>
      <c r="IX381" s="104"/>
      <c r="IY381" s="104"/>
      <c r="IZ381" s="104"/>
      <c r="JA381" s="104"/>
    </row>
    <row r="382" spans="61:261" x14ac:dyDescent="0.2">
      <c r="BI382" s="104"/>
      <c r="BJ382" s="104"/>
      <c r="BK382" s="104"/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  <c r="HO382" s="104"/>
      <c r="HP382" s="104"/>
      <c r="HQ382" s="104"/>
      <c r="HR382" s="104"/>
      <c r="HS382" s="104"/>
      <c r="HT382" s="104"/>
      <c r="HU382" s="104"/>
      <c r="HV382" s="104"/>
      <c r="HW382" s="104"/>
      <c r="HX382" s="104"/>
      <c r="HY382" s="104"/>
      <c r="HZ382" s="104"/>
      <c r="IA382" s="104"/>
      <c r="IB382" s="104"/>
      <c r="IC382" s="104"/>
      <c r="ID382" s="104"/>
      <c r="IE382" s="104"/>
      <c r="IF382" s="104"/>
      <c r="IG382" s="104"/>
      <c r="IH382" s="104"/>
      <c r="II382" s="104"/>
      <c r="IJ382" s="104"/>
      <c r="IK382" s="104"/>
      <c r="IL382" s="104"/>
      <c r="IM382" s="104"/>
      <c r="IN382" s="104"/>
      <c r="IO382" s="104"/>
      <c r="IP382" s="104"/>
      <c r="IQ382" s="104"/>
      <c r="IR382" s="104"/>
      <c r="IS382" s="104"/>
      <c r="IT382" s="104"/>
      <c r="IU382" s="104"/>
      <c r="IV382" s="104"/>
      <c r="IW382" s="104"/>
      <c r="IX382" s="104"/>
      <c r="IY382" s="104"/>
      <c r="IZ382" s="104"/>
      <c r="JA382" s="104"/>
    </row>
    <row r="383" spans="61:261" x14ac:dyDescent="0.2"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  <c r="HO383" s="104"/>
      <c r="HP383" s="104"/>
      <c r="HQ383" s="104"/>
      <c r="HR383" s="104"/>
      <c r="HS383" s="104"/>
      <c r="HT383" s="104"/>
      <c r="HU383" s="104"/>
      <c r="HV383" s="104"/>
      <c r="HW383" s="104"/>
      <c r="HX383" s="104"/>
      <c r="HY383" s="104"/>
      <c r="HZ383" s="104"/>
      <c r="IA383" s="104"/>
      <c r="IB383" s="104"/>
      <c r="IC383" s="104"/>
      <c r="ID383" s="104"/>
      <c r="IE383" s="104"/>
      <c r="IF383" s="104"/>
      <c r="IG383" s="104"/>
      <c r="IH383" s="104"/>
      <c r="II383" s="104"/>
      <c r="IJ383" s="104"/>
      <c r="IK383" s="104"/>
      <c r="IL383" s="104"/>
      <c r="IM383" s="104"/>
      <c r="IN383" s="104"/>
      <c r="IO383" s="104"/>
      <c r="IP383" s="104"/>
      <c r="IQ383" s="104"/>
      <c r="IR383" s="104"/>
      <c r="IS383" s="104"/>
      <c r="IT383" s="104"/>
      <c r="IU383" s="104"/>
      <c r="IV383" s="104"/>
      <c r="IW383" s="104"/>
      <c r="IX383" s="104"/>
      <c r="IY383" s="104"/>
      <c r="IZ383" s="104"/>
      <c r="JA383" s="104"/>
    </row>
    <row r="384" spans="61:261" x14ac:dyDescent="0.2">
      <c r="BI384" s="104"/>
      <c r="BJ384" s="104"/>
      <c r="BK384" s="104"/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  <c r="HO384" s="104"/>
      <c r="HP384" s="104"/>
      <c r="HQ384" s="104"/>
      <c r="HR384" s="104"/>
      <c r="HS384" s="104"/>
      <c r="HT384" s="104"/>
      <c r="HU384" s="104"/>
      <c r="HV384" s="104"/>
      <c r="HW384" s="104"/>
      <c r="HX384" s="104"/>
      <c r="HY384" s="104"/>
      <c r="HZ384" s="104"/>
      <c r="IA384" s="104"/>
      <c r="IB384" s="104"/>
      <c r="IC384" s="104"/>
      <c r="ID384" s="104"/>
      <c r="IE384" s="104"/>
      <c r="IF384" s="104"/>
      <c r="IG384" s="104"/>
      <c r="IH384" s="104"/>
      <c r="II384" s="104"/>
      <c r="IJ384" s="104"/>
      <c r="IK384" s="104"/>
      <c r="IL384" s="104"/>
      <c r="IM384" s="104"/>
      <c r="IN384" s="104"/>
      <c r="IO384" s="104"/>
      <c r="IP384" s="104"/>
      <c r="IQ384" s="104"/>
      <c r="IR384" s="104"/>
      <c r="IS384" s="104"/>
      <c r="IT384" s="104"/>
      <c r="IU384" s="104"/>
      <c r="IV384" s="104"/>
      <c r="IW384" s="104"/>
      <c r="IX384" s="104"/>
      <c r="IY384" s="104"/>
      <c r="IZ384" s="104"/>
      <c r="JA384" s="104"/>
    </row>
    <row r="385" spans="61:261" x14ac:dyDescent="0.2"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  <c r="IW385" s="104"/>
      <c r="IX385" s="104"/>
      <c r="IY385" s="104"/>
      <c r="IZ385" s="104"/>
      <c r="JA385" s="104"/>
    </row>
    <row r="386" spans="61:261" x14ac:dyDescent="0.2"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  <c r="HO386" s="104"/>
      <c r="HP386" s="104"/>
      <c r="HQ386" s="104"/>
      <c r="HR386" s="104"/>
      <c r="HS386" s="104"/>
      <c r="HT386" s="104"/>
      <c r="HU386" s="104"/>
      <c r="HV386" s="104"/>
      <c r="HW386" s="104"/>
      <c r="HX386" s="104"/>
      <c r="HY386" s="104"/>
      <c r="HZ386" s="104"/>
      <c r="IA386" s="104"/>
      <c r="IB386" s="104"/>
      <c r="IC386" s="104"/>
      <c r="ID386" s="104"/>
      <c r="IE386" s="104"/>
      <c r="IF386" s="104"/>
      <c r="IG386" s="104"/>
      <c r="IH386" s="104"/>
      <c r="II386" s="104"/>
      <c r="IJ386" s="104"/>
      <c r="IK386" s="104"/>
      <c r="IL386" s="104"/>
      <c r="IM386" s="104"/>
      <c r="IN386" s="104"/>
      <c r="IO386" s="104"/>
      <c r="IP386" s="104"/>
      <c r="IQ386" s="104"/>
      <c r="IR386" s="104"/>
      <c r="IS386" s="104"/>
      <c r="IT386" s="104"/>
      <c r="IU386" s="104"/>
      <c r="IV386" s="104"/>
      <c r="IW386" s="104"/>
      <c r="IX386" s="104"/>
      <c r="IY386" s="104"/>
      <c r="IZ386" s="104"/>
      <c r="JA386" s="104"/>
    </row>
    <row r="387" spans="61:261" x14ac:dyDescent="0.2">
      <c r="BI387" s="104"/>
      <c r="BJ387" s="104"/>
      <c r="BK387" s="104"/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  <c r="HO387" s="104"/>
      <c r="HP387" s="104"/>
      <c r="HQ387" s="104"/>
      <c r="HR387" s="104"/>
      <c r="HS387" s="104"/>
      <c r="HT387" s="104"/>
      <c r="HU387" s="104"/>
      <c r="HV387" s="104"/>
      <c r="HW387" s="104"/>
      <c r="HX387" s="104"/>
      <c r="HY387" s="104"/>
      <c r="HZ387" s="104"/>
      <c r="IA387" s="104"/>
      <c r="IB387" s="104"/>
      <c r="IC387" s="104"/>
      <c r="ID387" s="104"/>
      <c r="IE387" s="104"/>
      <c r="IF387" s="104"/>
      <c r="IG387" s="104"/>
      <c r="IH387" s="104"/>
      <c r="II387" s="104"/>
      <c r="IJ387" s="104"/>
      <c r="IK387" s="104"/>
      <c r="IL387" s="104"/>
      <c r="IM387" s="104"/>
      <c r="IN387" s="104"/>
      <c r="IO387" s="104"/>
      <c r="IP387" s="104"/>
      <c r="IQ387" s="104"/>
      <c r="IR387" s="104"/>
      <c r="IS387" s="104"/>
      <c r="IT387" s="104"/>
      <c r="IU387" s="104"/>
      <c r="IV387" s="104"/>
      <c r="IW387" s="104"/>
      <c r="IX387" s="104"/>
      <c r="IY387" s="104"/>
      <c r="IZ387" s="104"/>
      <c r="JA387" s="104"/>
    </row>
    <row r="388" spans="61:261" x14ac:dyDescent="0.2">
      <c r="BI388" s="104"/>
      <c r="BJ388" s="104"/>
      <c r="BK388" s="104"/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  <c r="HO388" s="104"/>
      <c r="HP388" s="104"/>
      <c r="HQ388" s="104"/>
      <c r="HR388" s="104"/>
      <c r="HS388" s="104"/>
      <c r="HT388" s="104"/>
      <c r="HU388" s="104"/>
      <c r="HV388" s="104"/>
      <c r="HW388" s="104"/>
      <c r="HX388" s="104"/>
      <c r="HY388" s="104"/>
      <c r="HZ388" s="104"/>
      <c r="IA388" s="104"/>
      <c r="IB388" s="104"/>
      <c r="IC388" s="104"/>
      <c r="ID388" s="104"/>
      <c r="IE388" s="104"/>
      <c r="IF388" s="104"/>
      <c r="IG388" s="104"/>
      <c r="IH388" s="104"/>
      <c r="II388" s="104"/>
      <c r="IJ388" s="104"/>
      <c r="IK388" s="104"/>
      <c r="IL388" s="104"/>
      <c r="IM388" s="104"/>
      <c r="IN388" s="104"/>
      <c r="IO388" s="104"/>
      <c r="IP388" s="104"/>
      <c r="IQ388" s="104"/>
      <c r="IR388" s="104"/>
      <c r="IS388" s="104"/>
      <c r="IT388" s="104"/>
      <c r="IU388" s="104"/>
      <c r="IV388" s="104"/>
      <c r="IW388" s="104"/>
      <c r="IX388" s="104"/>
      <c r="IY388" s="104"/>
      <c r="IZ388" s="104"/>
      <c r="JA388" s="104"/>
    </row>
    <row r="389" spans="61:261" x14ac:dyDescent="0.2">
      <c r="BI389" s="104"/>
      <c r="BJ389" s="104"/>
      <c r="BK389" s="104"/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  <c r="HO389" s="104"/>
      <c r="HP389" s="104"/>
      <c r="HQ389" s="104"/>
      <c r="HR389" s="104"/>
      <c r="HS389" s="104"/>
      <c r="HT389" s="104"/>
      <c r="HU389" s="104"/>
      <c r="HV389" s="104"/>
      <c r="HW389" s="104"/>
      <c r="HX389" s="104"/>
      <c r="HY389" s="104"/>
      <c r="HZ389" s="104"/>
      <c r="IA389" s="104"/>
      <c r="IB389" s="104"/>
      <c r="IC389" s="104"/>
      <c r="ID389" s="104"/>
      <c r="IE389" s="104"/>
      <c r="IF389" s="104"/>
      <c r="IG389" s="104"/>
      <c r="IH389" s="104"/>
      <c r="II389" s="104"/>
      <c r="IJ389" s="104"/>
      <c r="IK389" s="104"/>
      <c r="IL389" s="104"/>
      <c r="IM389" s="104"/>
      <c r="IN389" s="104"/>
      <c r="IO389" s="104"/>
      <c r="IP389" s="104"/>
      <c r="IQ389" s="104"/>
      <c r="IR389" s="104"/>
      <c r="IS389" s="104"/>
      <c r="IT389" s="104"/>
      <c r="IU389" s="104"/>
      <c r="IV389" s="104"/>
      <c r="IW389" s="104"/>
      <c r="IX389" s="104"/>
      <c r="IY389" s="104"/>
      <c r="IZ389" s="104"/>
      <c r="JA389" s="104"/>
    </row>
    <row r="390" spans="61:261" x14ac:dyDescent="0.2"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  <c r="HO390" s="104"/>
      <c r="HP390" s="104"/>
      <c r="HQ390" s="104"/>
      <c r="HR390" s="104"/>
      <c r="HS390" s="104"/>
      <c r="HT390" s="104"/>
      <c r="HU390" s="104"/>
      <c r="HV390" s="104"/>
      <c r="HW390" s="104"/>
      <c r="HX390" s="104"/>
      <c r="HY390" s="104"/>
      <c r="HZ390" s="104"/>
      <c r="IA390" s="104"/>
      <c r="IB390" s="104"/>
      <c r="IC390" s="104"/>
      <c r="ID390" s="104"/>
      <c r="IE390" s="104"/>
      <c r="IF390" s="104"/>
      <c r="IG390" s="104"/>
      <c r="IH390" s="104"/>
      <c r="II390" s="104"/>
      <c r="IJ390" s="104"/>
      <c r="IK390" s="104"/>
      <c r="IL390" s="104"/>
      <c r="IM390" s="104"/>
      <c r="IN390" s="104"/>
      <c r="IO390" s="104"/>
      <c r="IP390" s="104"/>
      <c r="IQ390" s="104"/>
      <c r="IR390" s="104"/>
      <c r="IS390" s="104"/>
      <c r="IT390" s="104"/>
      <c r="IU390" s="104"/>
      <c r="IV390" s="104"/>
      <c r="IW390" s="104"/>
      <c r="IX390" s="104"/>
      <c r="IY390" s="104"/>
      <c r="IZ390" s="104"/>
      <c r="JA390" s="104"/>
    </row>
    <row r="391" spans="61:261" x14ac:dyDescent="0.2"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  <c r="HO391" s="104"/>
      <c r="HP391" s="104"/>
      <c r="HQ391" s="104"/>
      <c r="HR391" s="104"/>
      <c r="HS391" s="104"/>
      <c r="HT391" s="104"/>
      <c r="HU391" s="104"/>
      <c r="HV391" s="104"/>
      <c r="HW391" s="104"/>
      <c r="HX391" s="104"/>
      <c r="HY391" s="104"/>
      <c r="HZ391" s="104"/>
      <c r="IA391" s="104"/>
      <c r="IB391" s="104"/>
      <c r="IC391" s="104"/>
      <c r="ID391" s="104"/>
      <c r="IE391" s="104"/>
      <c r="IF391" s="104"/>
      <c r="IG391" s="104"/>
      <c r="IH391" s="104"/>
      <c r="II391" s="104"/>
      <c r="IJ391" s="104"/>
      <c r="IK391" s="104"/>
      <c r="IL391" s="104"/>
      <c r="IM391" s="104"/>
      <c r="IN391" s="104"/>
      <c r="IO391" s="104"/>
      <c r="IP391" s="104"/>
      <c r="IQ391" s="104"/>
      <c r="IR391" s="104"/>
      <c r="IS391" s="104"/>
      <c r="IT391" s="104"/>
      <c r="IU391" s="104"/>
      <c r="IV391" s="104"/>
      <c r="IW391" s="104"/>
      <c r="IX391" s="104"/>
      <c r="IY391" s="104"/>
      <c r="IZ391" s="104"/>
      <c r="JA391" s="104"/>
    </row>
    <row r="392" spans="61:261" x14ac:dyDescent="0.2">
      <c r="BI392" s="104"/>
      <c r="BJ392" s="104"/>
      <c r="BK392" s="104"/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  <c r="HO392" s="104"/>
      <c r="HP392" s="104"/>
      <c r="HQ392" s="104"/>
      <c r="HR392" s="104"/>
      <c r="HS392" s="104"/>
      <c r="HT392" s="104"/>
      <c r="HU392" s="104"/>
      <c r="HV392" s="104"/>
      <c r="HW392" s="104"/>
      <c r="HX392" s="104"/>
      <c r="HY392" s="104"/>
      <c r="HZ392" s="104"/>
      <c r="IA392" s="104"/>
      <c r="IB392" s="104"/>
      <c r="IC392" s="104"/>
      <c r="ID392" s="104"/>
      <c r="IE392" s="104"/>
      <c r="IF392" s="104"/>
      <c r="IG392" s="104"/>
      <c r="IH392" s="104"/>
      <c r="II392" s="104"/>
      <c r="IJ392" s="104"/>
      <c r="IK392" s="104"/>
      <c r="IL392" s="104"/>
      <c r="IM392" s="104"/>
      <c r="IN392" s="104"/>
      <c r="IO392" s="104"/>
      <c r="IP392" s="104"/>
      <c r="IQ392" s="104"/>
      <c r="IR392" s="104"/>
      <c r="IS392" s="104"/>
      <c r="IT392" s="104"/>
      <c r="IU392" s="104"/>
      <c r="IV392" s="104"/>
      <c r="IW392" s="104"/>
      <c r="IX392" s="104"/>
      <c r="IY392" s="104"/>
      <c r="IZ392" s="104"/>
      <c r="JA392" s="104"/>
    </row>
    <row r="393" spans="61:261" x14ac:dyDescent="0.2">
      <c r="BI393" s="104"/>
      <c r="BJ393" s="104"/>
      <c r="BK393" s="104"/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  <c r="HO393" s="104"/>
      <c r="HP393" s="104"/>
      <c r="HQ393" s="104"/>
      <c r="HR393" s="104"/>
      <c r="HS393" s="104"/>
      <c r="HT393" s="104"/>
      <c r="HU393" s="104"/>
      <c r="HV393" s="104"/>
      <c r="HW393" s="104"/>
      <c r="HX393" s="104"/>
      <c r="HY393" s="104"/>
      <c r="HZ393" s="104"/>
      <c r="IA393" s="104"/>
      <c r="IB393" s="104"/>
      <c r="IC393" s="104"/>
      <c r="ID393" s="104"/>
      <c r="IE393" s="104"/>
      <c r="IF393" s="104"/>
      <c r="IG393" s="104"/>
      <c r="IH393" s="104"/>
      <c r="II393" s="104"/>
      <c r="IJ393" s="104"/>
      <c r="IK393" s="104"/>
      <c r="IL393" s="104"/>
      <c r="IM393" s="104"/>
      <c r="IN393" s="104"/>
      <c r="IO393" s="104"/>
      <c r="IP393" s="104"/>
      <c r="IQ393" s="104"/>
      <c r="IR393" s="104"/>
      <c r="IS393" s="104"/>
      <c r="IT393" s="104"/>
      <c r="IU393" s="104"/>
      <c r="IV393" s="104"/>
      <c r="IW393" s="104"/>
      <c r="IX393" s="104"/>
      <c r="IY393" s="104"/>
      <c r="IZ393" s="104"/>
      <c r="JA393" s="104"/>
    </row>
    <row r="394" spans="61:261" x14ac:dyDescent="0.2">
      <c r="BI394" s="104"/>
      <c r="BJ394" s="104"/>
      <c r="BK394" s="104"/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4"/>
      <c r="DB394" s="104"/>
      <c r="DC394" s="104"/>
      <c r="DD394" s="104"/>
      <c r="DE394" s="104"/>
      <c r="DF394" s="104"/>
      <c r="DG394" s="104"/>
      <c r="DH394" s="104"/>
      <c r="DI394" s="104"/>
      <c r="DJ394" s="104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04"/>
      <c r="EZ394" s="104"/>
      <c r="FA394" s="104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  <c r="HO394" s="104"/>
      <c r="HP394" s="104"/>
      <c r="HQ394" s="104"/>
      <c r="HR394" s="104"/>
      <c r="HS394" s="104"/>
      <c r="HT394" s="104"/>
      <c r="HU394" s="104"/>
      <c r="HV394" s="104"/>
      <c r="HW394" s="104"/>
      <c r="HX394" s="104"/>
      <c r="HY394" s="104"/>
      <c r="HZ394" s="104"/>
      <c r="IA394" s="104"/>
      <c r="IB394" s="104"/>
      <c r="IC394" s="104"/>
      <c r="ID394" s="104"/>
      <c r="IE394" s="104"/>
      <c r="IF394" s="104"/>
      <c r="IG394" s="104"/>
      <c r="IH394" s="104"/>
      <c r="II394" s="104"/>
      <c r="IJ394" s="104"/>
      <c r="IK394" s="104"/>
      <c r="IL394" s="104"/>
      <c r="IM394" s="104"/>
      <c r="IN394" s="104"/>
      <c r="IO394" s="104"/>
      <c r="IP394" s="104"/>
      <c r="IQ394" s="104"/>
      <c r="IR394" s="104"/>
      <c r="IS394" s="104"/>
      <c r="IT394" s="104"/>
      <c r="IU394" s="104"/>
      <c r="IV394" s="104"/>
      <c r="IW394" s="104"/>
      <c r="IX394" s="104"/>
      <c r="IY394" s="104"/>
      <c r="IZ394" s="104"/>
      <c r="JA394" s="104"/>
    </row>
    <row r="395" spans="61:261" x14ac:dyDescent="0.2">
      <c r="BI395" s="104"/>
      <c r="BJ395" s="104"/>
      <c r="BK395" s="104"/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4"/>
      <c r="DB395" s="104"/>
      <c r="DC395" s="104"/>
      <c r="DD395" s="104"/>
      <c r="DE395" s="104"/>
      <c r="DF395" s="104"/>
      <c r="DG395" s="104"/>
      <c r="DH395" s="104"/>
      <c r="DI395" s="104"/>
      <c r="DJ395" s="104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4"/>
      <c r="FA395" s="104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  <c r="HO395" s="104"/>
      <c r="HP395" s="104"/>
      <c r="HQ395" s="104"/>
      <c r="HR395" s="104"/>
      <c r="HS395" s="104"/>
      <c r="HT395" s="104"/>
      <c r="HU395" s="104"/>
      <c r="HV395" s="104"/>
      <c r="HW395" s="104"/>
      <c r="HX395" s="104"/>
      <c r="HY395" s="104"/>
      <c r="HZ395" s="104"/>
      <c r="IA395" s="104"/>
      <c r="IB395" s="104"/>
      <c r="IC395" s="104"/>
      <c r="ID395" s="104"/>
      <c r="IE395" s="104"/>
      <c r="IF395" s="104"/>
      <c r="IG395" s="104"/>
      <c r="IH395" s="104"/>
      <c r="II395" s="104"/>
      <c r="IJ395" s="104"/>
      <c r="IK395" s="104"/>
      <c r="IL395" s="104"/>
      <c r="IM395" s="104"/>
      <c r="IN395" s="104"/>
      <c r="IO395" s="104"/>
      <c r="IP395" s="104"/>
      <c r="IQ395" s="104"/>
      <c r="IR395" s="104"/>
      <c r="IS395" s="104"/>
      <c r="IT395" s="104"/>
      <c r="IU395" s="104"/>
      <c r="IV395" s="104"/>
      <c r="IW395" s="104"/>
      <c r="IX395" s="104"/>
      <c r="IY395" s="104"/>
      <c r="IZ395" s="104"/>
      <c r="JA395" s="104"/>
    </row>
    <row r="396" spans="61:261" x14ac:dyDescent="0.2">
      <c r="BI396" s="104"/>
      <c r="BJ396" s="104"/>
      <c r="BK396" s="104"/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  <c r="HO396" s="104"/>
      <c r="HP396" s="104"/>
      <c r="HQ396" s="104"/>
      <c r="HR396" s="104"/>
      <c r="HS396" s="104"/>
      <c r="HT396" s="104"/>
      <c r="HU396" s="104"/>
      <c r="HV396" s="104"/>
      <c r="HW396" s="104"/>
      <c r="HX396" s="104"/>
      <c r="HY396" s="104"/>
      <c r="HZ396" s="104"/>
      <c r="IA396" s="104"/>
      <c r="IB396" s="104"/>
      <c r="IC396" s="104"/>
      <c r="ID396" s="104"/>
      <c r="IE396" s="104"/>
      <c r="IF396" s="104"/>
      <c r="IG396" s="104"/>
      <c r="IH396" s="104"/>
      <c r="II396" s="104"/>
      <c r="IJ396" s="104"/>
      <c r="IK396" s="104"/>
      <c r="IL396" s="104"/>
      <c r="IM396" s="104"/>
      <c r="IN396" s="104"/>
      <c r="IO396" s="104"/>
      <c r="IP396" s="104"/>
      <c r="IQ396" s="104"/>
      <c r="IR396" s="104"/>
      <c r="IS396" s="104"/>
      <c r="IT396" s="104"/>
      <c r="IU396" s="104"/>
      <c r="IV396" s="104"/>
      <c r="IW396" s="104"/>
      <c r="IX396" s="104"/>
      <c r="IY396" s="104"/>
      <c r="IZ396" s="104"/>
      <c r="JA396" s="104"/>
    </row>
    <row r="397" spans="61:261" x14ac:dyDescent="0.2"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  <c r="IW397" s="104"/>
      <c r="IX397" s="104"/>
      <c r="IY397" s="104"/>
      <c r="IZ397" s="104"/>
      <c r="JA397" s="104"/>
    </row>
    <row r="398" spans="61:261" x14ac:dyDescent="0.2">
      <c r="BI398" s="104"/>
      <c r="BJ398" s="104"/>
      <c r="BK398" s="104"/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  <c r="HO398" s="104"/>
      <c r="HP398" s="104"/>
      <c r="HQ398" s="104"/>
      <c r="HR398" s="104"/>
      <c r="HS398" s="104"/>
      <c r="HT398" s="104"/>
      <c r="HU398" s="104"/>
      <c r="HV398" s="104"/>
      <c r="HW398" s="104"/>
      <c r="HX398" s="104"/>
      <c r="HY398" s="104"/>
      <c r="HZ398" s="104"/>
      <c r="IA398" s="104"/>
      <c r="IB398" s="104"/>
      <c r="IC398" s="104"/>
      <c r="ID398" s="104"/>
      <c r="IE398" s="104"/>
      <c r="IF398" s="104"/>
      <c r="IG398" s="104"/>
      <c r="IH398" s="104"/>
      <c r="II398" s="104"/>
      <c r="IJ398" s="104"/>
      <c r="IK398" s="104"/>
      <c r="IL398" s="104"/>
      <c r="IM398" s="104"/>
      <c r="IN398" s="104"/>
      <c r="IO398" s="104"/>
      <c r="IP398" s="104"/>
      <c r="IQ398" s="104"/>
      <c r="IR398" s="104"/>
      <c r="IS398" s="104"/>
      <c r="IT398" s="104"/>
      <c r="IU398" s="104"/>
      <c r="IV398" s="104"/>
      <c r="IW398" s="104"/>
      <c r="IX398" s="104"/>
      <c r="IY398" s="104"/>
      <c r="IZ398" s="104"/>
      <c r="JA398" s="104"/>
    </row>
    <row r="399" spans="61:261" x14ac:dyDescent="0.2"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  <c r="HO399" s="104"/>
      <c r="HP399" s="104"/>
      <c r="HQ399" s="104"/>
      <c r="HR399" s="104"/>
      <c r="HS399" s="104"/>
      <c r="HT399" s="104"/>
      <c r="HU399" s="104"/>
      <c r="HV399" s="104"/>
      <c r="HW399" s="104"/>
      <c r="HX399" s="104"/>
      <c r="HY399" s="104"/>
      <c r="HZ399" s="104"/>
      <c r="IA399" s="104"/>
      <c r="IB399" s="104"/>
      <c r="IC399" s="104"/>
      <c r="ID399" s="104"/>
      <c r="IE399" s="104"/>
      <c r="IF399" s="104"/>
      <c r="IG399" s="104"/>
      <c r="IH399" s="104"/>
      <c r="II399" s="104"/>
      <c r="IJ399" s="104"/>
      <c r="IK399" s="104"/>
      <c r="IL399" s="104"/>
      <c r="IM399" s="104"/>
      <c r="IN399" s="104"/>
      <c r="IO399" s="104"/>
      <c r="IP399" s="104"/>
      <c r="IQ399" s="104"/>
      <c r="IR399" s="104"/>
      <c r="IS399" s="104"/>
      <c r="IT399" s="104"/>
      <c r="IU399" s="104"/>
      <c r="IV399" s="104"/>
      <c r="IW399" s="104"/>
      <c r="IX399" s="104"/>
      <c r="IY399" s="104"/>
      <c r="IZ399" s="104"/>
      <c r="JA399" s="104"/>
    </row>
    <row r="400" spans="61:261" x14ac:dyDescent="0.2">
      <c r="BI400" s="104"/>
      <c r="BJ400" s="104"/>
      <c r="BK400" s="104"/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  <c r="HO400" s="104"/>
      <c r="HP400" s="104"/>
      <c r="HQ400" s="104"/>
      <c r="HR400" s="104"/>
      <c r="HS400" s="104"/>
      <c r="HT400" s="104"/>
      <c r="HU400" s="104"/>
      <c r="HV400" s="104"/>
      <c r="HW400" s="104"/>
      <c r="HX400" s="104"/>
      <c r="HY400" s="104"/>
      <c r="HZ400" s="104"/>
      <c r="IA400" s="104"/>
      <c r="IB400" s="104"/>
      <c r="IC400" s="104"/>
      <c r="ID400" s="104"/>
      <c r="IE400" s="104"/>
      <c r="IF400" s="104"/>
      <c r="IG400" s="104"/>
      <c r="IH400" s="104"/>
      <c r="II400" s="104"/>
      <c r="IJ400" s="104"/>
      <c r="IK400" s="104"/>
      <c r="IL400" s="104"/>
      <c r="IM400" s="104"/>
      <c r="IN400" s="104"/>
      <c r="IO400" s="104"/>
      <c r="IP400" s="104"/>
      <c r="IQ400" s="104"/>
      <c r="IR400" s="104"/>
      <c r="IS400" s="104"/>
      <c r="IT400" s="104"/>
      <c r="IU400" s="104"/>
      <c r="IV400" s="104"/>
      <c r="IW400" s="104"/>
      <c r="IX400" s="104"/>
      <c r="IY400" s="104"/>
      <c r="IZ400" s="104"/>
      <c r="JA400" s="104"/>
    </row>
    <row r="401" spans="61:261" x14ac:dyDescent="0.2"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  <c r="HO401" s="104"/>
      <c r="HP401" s="104"/>
      <c r="HQ401" s="104"/>
      <c r="HR401" s="104"/>
      <c r="HS401" s="104"/>
      <c r="HT401" s="104"/>
      <c r="HU401" s="104"/>
      <c r="HV401" s="104"/>
      <c r="HW401" s="104"/>
      <c r="HX401" s="104"/>
      <c r="HY401" s="104"/>
      <c r="HZ401" s="104"/>
      <c r="IA401" s="104"/>
      <c r="IB401" s="104"/>
      <c r="IC401" s="104"/>
      <c r="ID401" s="104"/>
      <c r="IE401" s="104"/>
      <c r="IF401" s="104"/>
      <c r="IG401" s="104"/>
      <c r="IH401" s="104"/>
      <c r="II401" s="104"/>
      <c r="IJ401" s="104"/>
      <c r="IK401" s="104"/>
      <c r="IL401" s="104"/>
      <c r="IM401" s="104"/>
      <c r="IN401" s="104"/>
      <c r="IO401" s="104"/>
      <c r="IP401" s="104"/>
      <c r="IQ401" s="104"/>
      <c r="IR401" s="104"/>
      <c r="IS401" s="104"/>
      <c r="IT401" s="104"/>
      <c r="IU401" s="104"/>
      <c r="IV401" s="104"/>
      <c r="IW401" s="104"/>
      <c r="IX401" s="104"/>
      <c r="IY401" s="104"/>
      <c r="IZ401" s="104"/>
      <c r="JA401" s="104"/>
    </row>
    <row r="402" spans="61:261" x14ac:dyDescent="0.2"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  <c r="HO402" s="104"/>
      <c r="HP402" s="104"/>
      <c r="HQ402" s="104"/>
      <c r="HR402" s="104"/>
      <c r="HS402" s="104"/>
      <c r="HT402" s="104"/>
      <c r="HU402" s="104"/>
      <c r="HV402" s="104"/>
      <c r="HW402" s="104"/>
      <c r="HX402" s="104"/>
      <c r="HY402" s="104"/>
      <c r="HZ402" s="104"/>
      <c r="IA402" s="104"/>
      <c r="IB402" s="104"/>
      <c r="IC402" s="104"/>
      <c r="ID402" s="104"/>
      <c r="IE402" s="104"/>
      <c r="IF402" s="104"/>
      <c r="IG402" s="104"/>
      <c r="IH402" s="104"/>
      <c r="II402" s="104"/>
      <c r="IJ402" s="104"/>
      <c r="IK402" s="104"/>
      <c r="IL402" s="104"/>
      <c r="IM402" s="104"/>
      <c r="IN402" s="104"/>
      <c r="IO402" s="104"/>
      <c r="IP402" s="104"/>
      <c r="IQ402" s="104"/>
      <c r="IR402" s="104"/>
      <c r="IS402" s="104"/>
      <c r="IT402" s="104"/>
      <c r="IU402" s="104"/>
      <c r="IV402" s="104"/>
      <c r="IW402" s="104"/>
      <c r="IX402" s="104"/>
      <c r="IY402" s="104"/>
      <c r="IZ402" s="104"/>
      <c r="JA402" s="104"/>
    </row>
    <row r="403" spans="61:261" x14ac:dyDescent="0.2">
      <c r="BI403" s="104"/>
      <c r="BJ403" s="104"/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  <c r="HO403" s="104"/>
      <c r="HP403" s="104"/>
      <c r="HQ403" s="104"/>
      <c r="HR403" s="104"/>
      <c r="HS403" s="104"/>
      <c r="HT403" s="104"/>
      <c r="HU403" s="104"/>
      <c r="HV403" s="104"/>
      <c r="HW403" s="104"/>
      <c r="HX403" s="104"/>
      <c r="HY403" s="104"/>
      <c r="HZ403" s="104"/>
      <c r="IA403" s="104"/>
      <c r="IB403" s="104"/>
      <c r="IC403" s="104"/>
      <c r="ID403" s="104"/>
      <c r="IE403" s="104"/>
      <c r="IF403" s="104"/>
      <c r="IG403" s="104"/>
      <c r="IH403" s="104"/>
      <c r="II403" s="104"/>
      <c r="IJ403" s="104"/>
      <c r="IK403" s="104"/>
      <c r="IL403" s="104"/>
      <c r="IM403" s="104"/>
      <c r="IN403" s="104"/>
      <c r="IO403" s="104"/>
      <c r="IP403" s="104"/>
      <c r="IQ403" s="104"/>
      <c r="IR403" s="104"/>
      <c r="IS403" s="104"/>
      <c r="IT403" s="104"/>
      <c r="IU403" s="104"/>
      <c r="IV403" s="104"/>
      <c r="IW403" s="104"/>
      <c r="IX403" s="104"/>
      <c r="IY403" s="104"/>
      <c r="IZ403" s="104"/>
      <c r="JA403" s="104"/>
    </row>
    <row r="404" spans="61:261" x14ac:dyDescent="0.2">
      <c r="BI404" s="104"/>
      <c r="BJ404" s="104"/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  <c r="HO404" s="104"/>
      <c r="HP404" s="104"/>
      <c r="HQ404" s="104"/>
      <c r="HR404" s="104"/>
      <c r="HS404" s="104"/>
      <c r="HT404" s="104"/>
      <c r="HU404" s="104"/>
      <c r="HV404" s="104"/>
      <c r="HW404" s="104"/>
      <c r="HX404" s="104"/>
      <c r="HY404" s="104"/>
      <c r="HZ404" s="104"/>
      <c r="IA404" s="104"/>
      <c r="IB404" s="104"/>
      <c r="IC404" s="104"/>
      <c r="ID404" s="104"/>
      <c r="IE404" s="104"/>
      <c r="IF404" s="104"/>
      <c r="IG404" s="104"/>
      <c r="IH404" s="104"/>
      <c r="II404" s="104"/>
      <c r="IJ404" s="104"/>
      <c r="IK404" s="104"/>
      <c r="IL404" s="104"/>
      <c r="IM404" s="104"/>
      <c r="IN404" s="104"/>
      <c r="IO404" s="104"/>
      <c r="IP404" s="104"/>
      <c r="IQ404" s="104"/>
      <c r="IR404" s="104"/>
      <c r="IS404" s="104"/>
      <c r="IT404" s="104"/>
      <c r="IU404" s="104"/>
      <c r="IV404" s="104"/>
      <c r="IW404" s="104"/>
      <c r="IX404" s="104"/>
      <c r="IY404" s="104"/>
      <c r="IZ404" s="104"/>
      <c r="JA404" s="104"/>
    </row>
    <row r="405" spans="61:261" x14ac:dyDescent="0.2">
      <c r="BI405" s="104"/>
      <c r="BJ405" s="104"/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  <c r="HO405" s="104"/>
      <c r="HP405" s="104"/>
      <c r="HQ405" s="104"/>
      <c r="HR405" s="104"/>
      <c r="HS405" s="104"/>
      <c r="HT405" s="104"/>
      <c r="HU405" s="104"/>
      <c r="HV405" s="104"/>
      <c r="HW405" s="104"/>
      <c r="HX405" s="104"/>
      <c r="HY405" s="104"/>
      <c r="HZ405" s="104"/>
      <c r="IA405" s="104"/>
      <c r="IB405" s="104"/>
      <c r="IC405" s="104"/>
      <c r="ID405" s="104"/>
      <c r="IE405" s="104"/>
      <c r="IF405" s="104"/>
      <c r="IG405" s="104"/>
      <c r="IH405" s="104"/>
      <c r="II405" s="104"/>
      <c r="IJ405" s="104"/>
      <c r="IK405" s="104"/>
      <c r="IL405" s="104"/>
      <c r="IM405" s="104"/>
      <c r="IN405" s="104"/>
      <c r="IO405" s="104"/>
      <c r="IP405" s="104"/>
      <c r="IQ405" s="104"/>
      <c r="IR405" s="104"/>
      <c r="IS405" s="104"/>
      <c r="IT405" s="104"/>
      <c r="IU405" s="104"/>
      <c r="IV405" s="104"/>
      <c r="IW405" s="104"/>
      <c r="IX405" s="104"/>
      <c r="IY405" s="104"/>
      <c r="IZ405" s="104"/>
      <c r="JA405" s="104"/>
    </row>
    <row r="406" spans="61:261" x14ac:dyDescent="0.2">
      <c r="BI406" s="104"/>
      <c r="BJ406" s="104"/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  <c r="HO406" s="104"/>
      <c r="HP406" s="104"/>
      <c r="HQ406" s="104"/>
      <c r="HR406" s="104"/>
      <c r="HS406" s="104"/>
      <c r="HT406" s="104"/>
      <c r="HU406" s="104"/>
      <c r="HV406" s="104"/>
      <c r="HW406" s="104"/>
      <c r="HX406" s="104"/>
      <c r="HY406" s="104"/>
      <c r="HZ406" s="104"/>
      <c r="IA406" s="104"/>
      <c r="IB406" s="104"/>
      <c r="IC406" s="104"/>
      <c r="ID406" s="104"/>
      <c r="IE406" s="104"/>
      <c r="IF406" s="104"/>
      <c r="IG406" s="104"/>
      <c r="IH406" s="104"/>
      <c r="II406" s="104"/>
      <c r="IJ406" s="104"/>
      <c r="IK406" s="104"/>
      <c r="IL406" s="104"/>
      <c r="IM406" s="104"/>
      <c r="IN406" s="104"/>
      <c r="IO406" s="104"/>
      <c r="IP406" s="104"/>
      <c r="IQ406" s="104"/>
      <c r="IR406" s="104"/>
      <c r="IS406" s="104"/>
      <c r="IT406" s="104"/>
      <c r="IU406" s="104"/>
      <c r="IV406" s="104"/>
      <c r="IW406" s="104"/>
      <c r="IX406" s="104"/>
      <c r="IY406" s="104"/>
      <c r="IZ406" s="104"/>
      <c r="JA406" s="104"/>
    </row>
    <row r="407" spans="61:261" x14ac:dyDescent="0.2">
      <c r="BI407" s="104"/>
      <c r="BJ407" s="104"/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  <c r="HO407" s="104"/>
      <c r="HP407" s="104"/>
      <c r="HQ407" s="104"/>
      <c r="HR407" s="104"/>
      <c r="HS407" s="104"/>
      <c r="HT407" s="104"/>
      <c r="HU407" s="104"/>
      <c r="HV407" s="104"/>
      <c r="HW407" s="104"/>
      <c r="HX407" s="104"/>
      <c r="HY407" s="104"/>
      <c r="HZ407" s="104"/>
      <c r="IA407" s="104"/>
      <c r="IB407" s="104"/>
      <c r="IC407" s="104"/>
      <c r="ID407" s="104"/>
      <c r="IE407" s="104"/>
      <c r="IF407" s="104"/>
      <c r="IG407" s="104"/>
      <c r="IH407" s="104"/>
      <c r="II407" s="104"/>
      <c r="IJ407" s="104"/>
      <c r="IK407" s="104"/>
      <c r="IL407" s="104"/>
      <c r="IM407" s="104"/>
      <c r="IN407" s="104"/>
      <c r="IO407" s="104"/>
      <c r="IP407" s="104"/>
      <c r="IQ407" s="104"/>
      <c r="IR407" s="104"/>
      <c r="IS407" s="104"/>
      <c r="IT407" s="104"/>
      <c r="IU407" s="104"/>
      <c r="IV407" s="104"/>
      <c r="IW407" s="104"/>
      <c r="IX407" s="104"/>
      <c r="IY407" s="104"/>
      <c r="IZ407" s="104"/>
      <c r="JA407" s="104"/>
    </row>
    <row r="408" spans="61:261" x14ac:dyDescent="0.2">
      <c r="BI408" s="104"/>
      <c r="BJ408" s="104"/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  <c r="HO408" s="104"/>
      <c r="HP408" s="104"/>
      <c r="HQ408" s="104"/>
      <c r="HR408" s="104"/>
      <c r="HS408" s="104"/>
      <c r="HT408" s="104"/>
      <c r="HU408" s="104"/>
      <c r="HV408" s="104"/>
      <c r="HW408" s="104"/>
      <c r="HX408" s="104"/>
      <c r="HY408" s="104"/>
      <c r="HZ408" s="104"/>
      <c r="IA408" s="104"/>
      <c r="IB408" s="104"/>
      <c r="IC408" s="104"/>
      <c r="ID408" s="104"/>
      <c r="IE408" s="104"/>
      <c r="IF408" s="104"/>
      <c r="IG408" s="104"/>
      <c r="IH408" s="104"/>
      <c r="II408" s="104"/>
      <c r="IJ408" s="104"/>
      <c r="IK408" s="104"/>
      <c r="IL408" s="104"/>
      <c r="IM408" s="104"/>
      <c r="IN408" s="104"/>
      <c r="IO408" s="104"/>
      <c r="IP408" s="104"/>
      <c r="IQ408" s="104"/>
      <c r="IR408" s="104"/>
      <c r="IS408" s="104"/>
      <c r="IT408" s="104"/>
      <c r="IU408" s="104"/>
      <c r="IV408" s="104"/>
      <c r="IW408" s="104"/>
      <c r="IX408" s="104"/>
      <c r="IY408" s="104"/>
      <c r="IZ408" s="104"/>
      <c r="JA408" s="104"/>
    </row>
    <row r="409" spans="61:261" x14ac:dyDescent="0.2"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  <c r="IW409" s="104"/>
      <c r="IX409" s="104"/>
      <c r="IY409" s="104"/>
      <c r="IZ409" s="104"/>
      <c r="JA409" s="104"/>
    </row>
    <row r="410" spans="61:261" x14ac:dyDescent="0.2">
      <c r="BI410" s="104"/>
      <c r="BJ410" s="104"/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4"/>
      <c r="DB410" s="104"/>
      <c r="DC410" s="104"/>
      <c r="DD410" s="104"/>
      <c r="DE410" s="104"/>
      <c r="DF410" s="104"/>
      <c r="DG410" s="104"/>
      <c r="DH410" s="104"/>
      <c r="DI410" s="104"/>
      <c r="DJ410" s="104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04"/>
      <c r="EZ410" s="104"/>
      <c r="FA410" s="104"/>
      <c r="FB410" s="104"/>
      <c r="FC410" s="104"/>
      <c r="FD410" s="104"/>
      <c r="FE410" s="104"/>
      <c r="FF410" s="104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  <c r="HO410" s="104"/>
      <c r="HP410" s="104"/>
      <c r="HQ410" s="104"/>
      <c r="HR410" s="104"/>
      <c r="HS410" s="104"/>
      <c r="HT410" s="104"/>
      <c r="HU410" s="104"/>
      <c r="HV410" s="104"/>
      <c r="HW410" s="104"/>
      <c r="HX410" s="104"/>
      <c r="HY410" s="104"/>
      <c r="HZ410" s="104"/>
      <c r="IA410" s="104"/>
      <c r="IB410" s="104"/>
      <c r="IC410" s="104"/>
      <c r="ID410" s="104"/>
      <c r="IE410" s="104"/>
      <c r="IF410" s="104"/>
      <c r="IG410" s="104"/>
      <c r="IH410" s="104"/>
      <c r="II410" s="104"/>
      <c r="IJ410" s="104"/>
      <c r="IK410" s="104"/>
      <c r="IL410" s="104"/>
      <c r="IM410" s="104"/>
      <c r="IN410" s="104"/>
      <c r="IO410" s="104"/>
      <c r="IP410" s="104"/>
      <c r="IQ410" s="104"/>
      <c r="IR410" s="104"/>
      <c r="IS410" s="104"/>
      <c r="IT410" s="104"/>
      <c r="IU410" s="104"/>
      <c r="IV410" s="104"/>
      <c r="IW410" s="104"/>
      <c r="IX410" s="104"/>
      <c r="IY410" s="104"/>
      <c r="IZ410" s="104"/>
      <c r="JA410" s="104"/>
    </row>
    <row r="411" spans="61:261" x14ac:dyDescent="0.2"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  <c r="IQ411" s="104"/>
      <c r="IR411" s="104"/>
      <c r="IS411" s="104"/>
      <c r="IT411" s="104"/>
      <c r="IU411" s="104"/>
      <c r="IV411" s="104"/>
      <c r="IW411" s="104"/>
      <c r="IX411" s="104"/>
      <c r="IY411" s="104"/>
      <c r="IZ411" s="104"/>
      <c r="JA411" s="104"/>
    </row>
    <row r="412" spans="61:261" x14ac:dyDescent="0.2"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  <c r="HO412" s="104"/>
      <c r="HP412" s="104"/>
      <c r="HQ412" s="104"/>
      <c r="HR412" s="104"/>
      <c r="HS412" s="104"/>
      <c r="HT412" s="104"/>
      <c r="HU412" s="104"/>
      <c r="HV412" s="104"/>
      <c r="HW412" s="104"/>
      <c r="HX412" s="104"/>
      <c r="HY412" s="104"/>
      <c r="HZ412" s="104"/>
      <c r="IA412" s="104"/>
      <c r="IB412" s="104"/>
      <c r="IC412" s="104"/>
      <c r="ID412" s="104"/>
      <c r="IE412" s="104"/>
      <c r="IF412" s="104"/>
      <c r="IG412" s="104"/>
      <c r="IH412" s="104"/>
      <c r="II412" s="104"/>
      <c r="IJ412" s="104"/>
      <c r="IK412" s="104"/>
      <c r="IL412" s="104"/>
      <c r="IM412" s="104"/>
      <c r="IN412" s="104"/>
      <c r="IO412" s="104"/>
      <c r="IP412" s="104"/>
      <c r="IQ412" s="104"/>
      <c r="IR412" s="104"/>
      <c r="IS412" s="104"/>
      <c r="IT412" s="104"/>
      <c r="IU412" s="104"/>
      <c r="IV412" s="104"/>
      <c r="IW412" s="104"/>
      <c r="IX412" s="104"/>
      <c r="IY412" s="104"/>
      <c r="IZ412" s="104"/>
      <c r="JA412" s="104"/>
    </row>
    <row r="413" spans="61:261" x14ac:dyDescent="0.2">
      <c r="BI413" s="104"/>
      <c r="BJ413" s="104"/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4"/>
      <c r="DB413" s="104"/>
      <c r="DC413" s="104"/>
      <c r="DD413" s="104"/>
      <c r="DE413" s="104"/>
      <c r="DF413" s="104"/>
      <c r="DG413" s="104"/>
      <c r="DH413" s="104"/>
      <c r="DI413" s="104"/>
      <c r="DJ413" s="104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  <c r="HO413" s="104"/>
      <c r="HP413" s="104"/>
      <c r="HQ413" s="104"/>
      <c r="HR413" s="104"/>
      <c r="HS413" s="104"/>
      <c r="HT413" s="104"/>
      <c r="HU413" s="104"/>
      <c r="HV413" s="104"/>
      <c r="HW413" s="104"/>
      <c r="HX413" s="104"/>
      <c r="HY413" s="104"/>
      <c r="HZ413" s="104"/>
      <c r="IA413" s="104"/>
      <c r="IB413" s="104"/>
      <c r="IC413" s="104"/>
      <c r="ID413" s="104"/>
      <c r="IE413" s="104"/>
      <c r="IF413" s="104"/>
      <c r="IG413" s="104"/>
      <c r="IH413" s="104"/>
      <c r="II413" s="104"/>
      <c r="IJ413" s="104"/>
      <c r="IK413" s="104"/>
      <c r="IL413" s="104"/>
      <c r="IM413" s="104"/>
      <c r="IN413" s="104"/>
      <c r="IO413" s="104"/>
      <c r="IP413" s="104"/>
      <c r="IQ413" s="104"/>
      <c r="IR413" s="104"/>
      <c r="IS413" s="104"/>
      <c r="IT413" s="104"/>
      <c r="IU413" s="104"/>
      <c r="IV413" s="104"/>
      <c r="IW413" s="104"/>
      <c r="IX413" s="104"/>
      <c r="IY413" s="104"/>
      <c r="IZ413" s="104"/>
      <c r="JA413" s="104"/>
    </row>
    <row r="414" spans="61:261" x14ac:dyDescent="0.2">
      <c r="BI414" s="104"/>
      <c r="BJ414" s="104"/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4"/>
      <c r="DB414" s="104"/>
      <c r="DC414" s="104"/>
      <c r="DD414" s="104"/>
      <c r="DE414" s="104"/>
      <c r="DF414" s="104"/>
      <c r="DG414" s="104"/>
      <c r="DH414" s="104"/>
      <c r="DI414" s="104"/>
      <c r="DJ414" s="104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  <c r="HO414" s="104"/>
      <c r="HP414" s="104"/>
      <c r="HQ414" s="104"/>
      <c r="HR414" s="104"/>
      <c r="HS414" s="104"/>
      <c r="HT414" s="104"/>
      <c r="HU414" s="104"/>
      <c r="HV414" s="104"/>
      <c r="HW414" s="104"/>
      <c r="HX414" s="104"/>
      <c r="HY414" s="104"/>
      <c r="HZ414" s="104"/>
      <c r="IA414" s="104"/>
      <c r="IB414" s="104"/>
      <c r="IC414" s="104"/>
      <c r="ID414" s="104"/>
      <c r="IE414" s="104"/>
      <c r="IF414" s="104"/>
      <c r="IG414" s="104"/>
      <c r="IH414" s="104"/>
      <c r="II414" s="104"/>
      <c r="IJ414" s="104"/>
      <c r="IK414" s="104"/>
      <c r="IL414" s="104"/>
      <c r="IM414" s="104"/>
      <c r="IN414" s="104"/>
      <c r="IO414" s="104"/>
      <c r="IP414" s="104"/>
      <c r="IQ414" s="104"/>
      <c r="IR414" s="104"/>
      <c r="IS414" s="104"/>
      <c r="IT414" s="104"/>
      <c r="IU414" s="104"/>
      <c r="IV414" s="104"/>
      <c r="IW414" s="104"/>
      <c r="IX414" s="104"/>
      <c r="IY414" s="104"/>
      <c r="IZ414" s="104"/>
      <c r="JA414" s="104"/>
    </row>
    <row r="415" spans="61:261" x14ac:dyDescent="0.2">
      <c r="BI415" s="104"/>
      <c r="BJ415" s="104"/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4"/>
      <c r="DB415" s="104"/>
      <c r="DC415" s="104"/>
      <c r="DD415" s="104"/>
      <c r="DE415" s="104"/>
      <c r="DF415" s="104"/>
      <c r="DG415" s="104"/>
      <c r="DH415" s="104"/>
      <c r="DI415" s="104"/>
      <c r="DJ415" s="104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  <c r="HO415" s="104"/>
      <c r="HP415" s="104"/>
      <c r="HQ415" s="104"/>
      <c r="HR415" s="104"/>
      <c r="HS415" s="104"/>
      <c r="HT415" s="104"/>
      <c r="HU415" s="104"/>
      <c r="HV415" s="104"/>
      <c r="HW415" s="104"/>
      <c r="HX415" s="104"/>
      <c r="HY415" s="104"/>
      <c r="HZ415" s="104"/>
      <c r="IA415" s="104"/>
      <c r="IB415" s="104"/>
      <c r="IC415" s="104"/>
      <c r="ID415" s="104"/>
      <c r="IE415" s="104"/>
      <c r="IF415" s="104"/>
      <c r="IG415" s="104"/>
      <c r="IH415" s="104"/>
      <c r="II415" s="104"/>
      <c r="IJ415" s="104"/>
      <c r="IK415" s="104"/>
      <c r="IL415" s="104"/>
      <c r="IM415" s="104"/>
      <c r="IN415" s="104"/>
      <c r="IO415" s="104"/>
      <c r="IP415" s="104"/>
      <c r="IQ415" s="104"/>
      <c r="IR415" s="104"/>
      <c r="IS415" s="104"/>
      <c r="IT415" s="104"/>
      <c r="IU415" s="104"/>
      <c r="IV415" s="104"/>
      <c r="IW415" s="104"/>
      <c r="IX415" s="104"/>
      <c r="IY415" s="104"/>
      <c r="IZ415" s="104"/>
      <c r="JA415" s="104"/>
    </row>
    <row r="416" spans="61:261" x14ac:dyDescent="0.2">
      <c r="BI416" s="104"/>
      <c r="BJ416" s="104"/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4"/>
      <c r="DB416" s="104"/>
      <c r="DC416" s="104"/>
      <c r="DD416" s="104"/>
      <c r="DE416" s="104"/>
      <c r="DF416" s="104"/>
      <c r="DG416" s="104"/>
      <c r="DH416" s="104"/>
      <c r="DI416" s="104"/>
      <c r="DJ416" s="104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  <c r="HO416" s="104"/>
      <c r="HP416" s="104"/>
      <c r="HQ416" s="104"/>
      <c r="HR416" s="104"/>
      <c r="HS416" s="104"/>
      <c r="HT416" s="104"/>
      <c r="HU416" s="104"/>
      <c r="HV416" s="104"/>
      <c r="HW416" s="104"/>
      <c r="HX416" s="104"/>
      <c r="HY416" s="104"/>
      <c r="HZ416" s="104"/>
      <c r="IA416" s="104"/>
      <c r="IB416" s="104"/>
      <c r="IC416" s="104"/>
      <c r="ID416" s="104"/>
      <c r="IE416" s="104"/>
      <c r="IF416" s="104"/>
      <c r="IG416" s="104"/>
      <c r="IH416" s="104"/>
      <c r="II416" s="104"/>
      <c r="IJ416" s="104"/>
      <c r="IK416" s="104"/>
      <c r="IL416" s="104"/>
      <c r="IM416" s="104"/>
      <c r="IN416" s="104"/>
      <c r="IO416" s="104"/>
      <c r="IP416" s="104"/>
      <c r="IQ416" s="104"/>
      <c r="IR416" s="104"/>
      <c r="IS416" s="104"/>
      <c r="IT416" s="104"/>
      <c r="IU416" s="104"/>
      <c r="IV416" s="104"/>
      <c r="IW416" s="104"/>
      <c r="IX416" s="104"/>
      <c r="IY416" s="104"/>
      <c r="IZ416" s="104"/>
      <c r="JA416" s="104"/>
    </row>
    <row r="417" spans="61:261" x14ac:dyDescent="0.2">
      <c r="BI417" s="104"/>
      <c r="BJ417" s="104"/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4"/>
      <c r="DB417" s="104"/>
      <c r="DC417" s="104"/>
      <c r="DD417" s="104"/>
      <c r="DE417" s="104"/>
      <c r="DF417" s="104"/>
      <c r="DG417" s="104"/>
      <c r="DH417" s="104"/>
      <c r="DI417" s="104"/>
      <c r="DJ417" s="104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  <c r="HO417" s="104"/>
      <c r="HP417" s="104"/>
      <c r="HQ417" s="104"/>
      <c r="HR417" s="104"/>
      <c r="HS417" s="104"/>
      <c r="HT417" s="104"/>
      <c r="HU417" s="104"/>
      <c r="HV417" s="104"/>
      <c r="HW417" s="104"/>
      <c r="HX417" s="104"/>
      <c r="HY417" s="104"/>
      <c r="HZ417" s="104"/>
      <c r="IA417" s="104"/>
      <c r="IB417" s="104"/>
      <c r="IC417" s="104"/>
      <c r="ID417" s="104"/>
      <c r="IE417" s="104"/>
      <c r="IF417" s="104"/>
      <c r="IG417" s="104"/>
      <c r="IH417" s="104"/>
      <c r="II417" s="104"/>
      <c r="IJ417" s="104"/>
      <c r="IK417" s="104"/>
      <c r="IL417" s="104"/>
      <c r="IM417" s="104"/>
      <c r="IN417" s="104"/>
      <c r="IO417" s="104"/>
      <c r="IP417" s="104"/>
      <c r="IQ417" s="104"/>
      <c r="IR417" s="104"/>
      <c r="IS417" s="104"/>
      <c r="IT417" s="104"/>
      <c r="IU417" s="104"/>
      <c r="IV417" s="104"/>
      <c r="IW417" s="104"/>
      <c r="IX417" s="104"/>
      <c r="IY417" s="104"/>
      <c r="IZ417" s="104"/>
      <c r="JA417" s="104"/>
    </row>
    <row r="418" spans="61:261" x14ac:dyDescent="0.2"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4"/>
      <c r="DB418" s="104"/>
      <c r="DC418" s="104"/>
      <c r="DD418" s="104"/>
      <c r="DE418" s="104"/>
      <c r="DF418" s="104"/>
      <c r="DG418" s="104"/>
      <c r="DH418" s="104"/>
      <c r="DI418" s="104"/>
      <c r="DJ418" s="104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  <c r="HO418" s="104"/>
      <c r="HP418" s="104"/>
      <c r="HQ418" s="104"/>
      <c r="HR418" s="104"/>
      <c r="HS418" s="104"/>
      <c r="HT418" s="104"/>
      <c r="HU418" s="104"/>
      <c r="HV418" s="104"/>
      <c r="HW418" s="104"/>
      <c r="HX418" s="104"/>
      <c r="HY418" s="104"/>
      <c r="HZ418" s="104"/>
      <c r="IA418" s="104"/>
      <c r="IB418" s="104"/>
      <c r="IC418" s="104"/>
      <c r="ID418" s="104"/>
      <c r="IE418" s="104"/>
      <c r="IF418" s="104"/>
      <c r="IG418" s="104"/>
      <c r="IH418" s="104"/>
      <c r="II418" s="104"/>
      <c r="IJ418" s="104"/>
      <c r="IK418" s="104"/>
      <c r="IL418" s="104"/>
      <c r="IM418" s="104"/>
      <c r="IN418" s="104"/>
      <c r="IO418" s="104"/>
      <c r="IP418" s="104"/>
      <c r="IQ418" s="104"/>
      <c r="IR418" s="104"/>
      <c r="IS418" s="104"/>
      <c r="IT418" s="104"/>
      <c r="IU418" s="104"/>
      <c r="IV418" s="104"/>
      <c r="IW418" s="104"/>
      <c r="IX418" s="104"/>
      <c r="IY418" s="104"/>
      <c r="IZ418" s="104"/>
      <c r="JA418" s="104"/>
    </row>
    <row r="419" spans="61:261" x14ac:dyDescent="0.2">
      <c r="BI419" s="104"/>
      <c r="BJ419" s="104"/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4"/>
      <c r="DB419" s="104"/>
      <c r="DC419" s="104"/>
      <c r="DD419" s="104"/>
      <c r="DE419" s="104"/>
      <c r="DF419" s="104"/>
      <c r="DG419" s="104"/>
      <c r="DH419" s="104"/>
      <c r="DI419" s="104"/>
      <c r="DJ419" s="104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  <c r="HO419" s="104"/>
      <c r="HP419" s="104"/>
      <c r="HQ419" s="104"/>
      <c r="HR419" s="104"/>
      <c r="HS419" s="104"/>
      <c r="HT419" s="104"/>
      <c r="HU419" s="104"/>
      <c r="HV419" s="104"/>
      <c r="HW419" s="104"/>
      <c r="HX419" s="104"/>
      <c r="HY419" s="104"/>
      <c r="HZ419" s="104"/>
      <c r="IA419" s="104"/>
      <c r="IB419" s="104"/>
      <c r="IC419" s="104"/>
      <c r="ID419" s="104"/>
      <c r="IE419" s="104"/>
      <c r="IF419" s="104"/>
      <c r="IG419" s="104"/>
      <c r="IH419" s="104"/>
      <c r="II419" s="104"/>
      <c r="IJ419" s="104"/>
      <c r="IK419" s="104"/>
      <c r="IL419" s="104"/>
      <c r="IM419" s="104"/>
      <c r="IN419" s="104"/>
      <c r="IO419" s="104"/>
      <c r="IP419" s="104"/>
      <c r="IQ419" s="104"/>
      <c r="IR419" s="104"/>
      <c r="IS419" s="104"/>
      <c r="IT419" s="104"/>
      <c r="IU419" s="104"/>
      <c r="IV419" s="104"/>
      <c r="IW419" s="104"/>
      <c r="IX419" s="104"/>
      <c r="IY419" s="104"/>
      <c r="IZ419" s="104"/>
      <c r="JA419" s="104"/>
    </row>
    <row r="420" spans="61:261" x14ac:dyDescent="0.2">
      <c r="BI420" s="104"/>
      <c r="BJ420" s="104"/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4"/>
      <c r="DB420" s="104"/>
      <c r="DC420" s="104"/>
      <c r="DD420" s="104"/>
      <c r="DE420" s="104"/>
      <c r="DF420" s="104"/>
      <c r="DG420" s="104"/>
      <c r="DH420" s="104"/>
      <c r="DI420" s="104"/>
      <c r="DJ420" s="104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  <c r="HO420" s="104"/>
      <c r="HP420" s="104"/>
      <c r="HQ420" s="104"/>
      <c r="HR420" s="104"/>
      <c r="HS420" s="104"/>
      <c r="HT420" s="104"/>
      <c r="HU420" s="104"/>
      <c r="HV420" s="104"/>
      <c r="HW420" s="104"/>
      <c r="HX420" s="104"/>
      <c r="HY420" s="104"/>
      <c r="HZ420" s="104"/>
      <c r="IA420" s="104"/>
      <c r="IB420" s="104"/>
      <c r="IC420" s="104"/>
      <c r="ID420" s="104"/>
      <c r="IE420" s="104"/>
      <c r="IF420" s="104"/>
      <c r="IG420" s="104"/>
      <c r="IH420" s="104"/>
      <c r="II420" s="104"/>
      <c r="IJ420" s="104"/>
      <c r="IK420" s="104"/>
      <c r="IL420" s="104"/>
      <c r="IM420" s="104"/>
      <c r="IN420" s="104"/>
      <c r="IO420" s="104"/>
      <c r="IP420" s="104"/>
      <c r="IQ420" s="104"/>
      <c r="IR420" s="104"/>
      <c r="IS420" s="104"/>
      <c r="IT420" s="104"/>
      <c r="IU420" s="104"/>
      <c r="IV420" s="104"/>
      <c r="IW420" s="104"/>
      <c r="IX420" s="104"/>
      <c r="IY420" s="104"/>
      <c r="IZ420" s="104"/>
      <c r="JA420" s="104"/>
    </row>
    <row r="421" spans="61:261" x14ac:dyDescent="0.2">
      <c r="BI421" s="104"/>
      <c r="BJ421" s="104"/>
      <c r="BK421" s="104"/>
      <c r="BL421" s="104"/>
      <c r="BM421" s="104"/>
      <c r="BN421" s="104"/>
      <c r="BO421" s="104"/>
      <c r="BP421" s="104"/>
      <c r="BQ421" s="104"/>
      <c r="BR421" s="104"/>
      <c r="BS421" s="104"/>
      <c r="BT421" s="104"/>
      <c r="BU421" s="104"/>
      <c r="BV421" s="104"/>
      <c r="BW421" s="104"/>
      <c r="BX421" s="104"/>
      <c r="BY421" s="104"/>
      <c r="BZ421" s="104"/>
      <c r="CA421" s="104"/>
      <c r="CB421" s="104"/>
      <c r="CC421" s="104"/>
      <c r="CD421" s="104"/>
      <c r="CE421" s="104"/>
      <c r="CF421" s="104"/>
      <c r="CG421" s="104"/>
      <c r="CH421" s="104"/>
      <c r="CI421" s="104"/>
      <c r="CJ421" s="104"/>
      <c r="CK421" s="104"/>
      <c r="CL421" s="104"/>
      <c r="CM421" s="104"/>
      <c r="CN421" s="104"/>
      <c r="CO421" s="104"/>
      <c r="CP421" s="104"/>
      <c r="CQ421" s="104"/>
      <c r="CR421" s="104"/>
      <c r="CS421" s="104"/>
      <c r="CT421" s="104"/>
      <c r="CU421" s="104"/>
      <c r="CV421" s="104"/>
      <c r="CW421" s="104"/>
      <c r="CX421" s="104"/>
      <c r="CY421" s="104"/>
      <c r="CZ421" s="104"/>
      <c r="DA421" s="104"/>
      <c r="DB421" s="104"/>
      <c r="DC421" s="104"/>
      <c r="DD421" s="104"/>
      <c r="DE421" s="104"/>
      <c r="DF421" s="104"/>
      <c r="DG421" s="104"/>
      <c r="DH421" s="104"/>
      <c r="DI421" s="104"/>
      <c r="DJ421" s="104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104"/>
      <c r="DV421" s="104"/>
      <c r="DW421" s="104"/>
      <c r="DX421" s="104"/>
      <c r="DY421" s="104"/>
      <c r="DZ421" s="104"/>
      <c r="EA421" s="104"/>
      <c r="EB421" s="104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04"/>
      <c r="EZ421" s="104"/>
      <c r="FA421" s="104"/>
      <c r="FB421" s="104"/>
      <c r="FC421" s="104"/>
      <c r="FD421" s="104"/>
      <c r="FE421" s="104"/>
      <c r="FF421" s="104"/>
      <c r="FG421" s="104"/>
      <c r="FH421" s="104"/>
      <c r="FI421" s="104"/>
      <c r="FJ421" s="104"/>
      <c r="FK421" s="104"/>
      <c r="FL421" s="104"/>
      <c r="FM421" s="104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  <c r="GA421" s="104"/>
      <c r="GB421" s="104"/>
      <c r="GC421" s="104"/>
      <c r="GD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  <c r="HL421" s="104"/>
      <c r="HM421" s="104"/>
      <c r="HN421" s="104"/>
      <c r="HO421" s="104"/>
      <c r="HP421" s="104"/>
      <c r="HQ421" s="104"/>
      <c r="HR421" s="104"/>
      <c r="HS421" s="104"/>
      <c r="HT421" s="104"/>
      <c r="HU421" s="104"/>
      <c r="HV421" s="104"/>
      <c r="HW421" s="104"/>
      <c r="HX421" s="104"/>
      <c r="HY421" s="104"/>
      <c r="HZ421" s="104"/>
      <c r="IA421" s="104"/>
      <c r="IB421" s="104"/>
      <c r="IC421" s="104"/>
      <c r="ID421" s="104"/>
      <c r="IE421" s="104"/>
      <c r="IF421" s="104"/>
      <c r="IG421" s="104"/>
      <c r="IH421" s="104"/>
      <c r="II421" s="104"/>
      <c r="IJ421" s="104"/>
      <c r="IK421" s="104"/>
      <c r="IL421" s="104"/>
      <c r="IM421" s="104"/>
      <c r="IN421" s="104"/>
      <c r="IO421" s="104"/>
      <c r="IP421" s="104"/>
      <c r="IQ421" s="104"/>
      <c r="IR421" s="104"/>
      <c r="IS421" s="104"/>
      <c r="IT421" s="104"/>
      <c r="IU421" s="104"/>
      <c r="IV421" s="104"/>
      <c r="IW421" s="104"/>
      <c r="IX421" s="104"/>
      <c r="IY421" s="104"/>
      <c r="IZ421" s="104"/>
      <c r="JA421" s="104"/>
    </row>
    <row r="422" spans="61:261" x14ac:dyDescent="0.2">
      <c r="BI422" s="104"/>
      <c r="BJ422" s="104"/>
      <c r="BK422" s="104"/>
      <c r="BL422" s="104"/>
      <c r="BM422" s="104"/>
      <c r="BN422" s="104"/>
      <c r="BO422" s="104"/>
      <c r="BP422" s="104"/>
      <c r="BQ422" s="104"/>
      <c r="BR422" s="104"/>
      <c r="BS422" s="104"/>
      <c r="BT422" s="104"/>
      <c r="BU422" s="104"/>
      <c r="BV422" s="104"/>
      <c r="BW422" s="104"/>
      <c r="BX422" s="104"/>
      <c r="BY422" s="104"/>
      <c r="BZ422" s="104"/>
      <c r="CA422" s="104"/>
      <c r="CB422" s="104"/>
      <c r="CC422" s="104"/>
      <c r="CD422" s="104"/>
      <c r="CE422" s="104"/>
      <c r="CF422" s="104"/>
      <c r="CG422" s="104"/>
      <c r="CH422" s="104"/>
      <c r="CI422" s="104"/>
      <c r="CJ422" s="104"/>
      <c r="CK422" s="104"/>
      <c r="CL422" s="104"/>
      <c r="CM422" s="104"/>
      <c r="CN422" s="104"/>
      <c r="CO422" s="104"/>
      <c r="CP422" s="104"/>
      <c r="CQ422" s="104"/>
      <c r="CR422" s="104"/>
      <c r="CS422" s="104"/>
      <c r="CT422" s="104"/>
      <c r="CU422" s="104"/>
      <c r="CV422" s="104"/>
      <c r="CW422" s="104"/>
      <c r="CX422" s="104"/>
      <c r="CY422" s="104"/>
      <c r="CZ422" s="104"/>
      <c r="DA422" s="104"/>
      <c r="DB422" s="104"/>
      <c r="DC422" s="104"/>
      <c r="DD422" s="104"/>
      <c r="DE422" s="104"/>
      <c r="DF422" s="104"/>
      <c r="DG422" s="104"/>
      <c r="DH422" s="104"/>
      <c r="DI422" s="104"/>
      <c r="DJ422" s="104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104"/>
      <c r="DV422" s="104"/>
      <c r="DW422" s="104"/>
      <c r="DX422" s="104"/>
      <c r="DY422" s="104"/>
      <c r="DZ422" s="104"/>
      <c r="EA422" s="104"/>
      <c r="EB422" s="104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04"/>
      <c r="EZ422" s="104"/>
      <c r="FA422" s="104"/>
      <c r="FB422" s="104"/>
      <c r="FC422" s="104"/>
      <c r="FD422" s="104"/>
      <c r="FE422" s="104"/>
      <c r="FF422" s="104"/>
      <c r="FG422" s="104"/>
      <c r="FH422" s="104"/>
      <c r="FI422" s="104"/>
      <c r="FJ422" s="104"/>
      <c r="FK422" s="104"/>
      <c r="FL422" s="104"/>
      <c r="FM422" s="104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  <c r="GA422" s="104"/>
      <c r="GB422" s="104"/>
      <c r="GC422" s="104"/>
      <c r="GD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  <c r="HL422" s="104"/>
      <c r="HM422" s="104"/>
      <c r="HN422" s="104"/>
      <c r="HO422" s="104"/>
      <c r="HP422" s="104"/>
      <c r="HQ422" s="104"/>
      <c r="HR422" s="104"/>
      <c r="HS422" s="104"/>
      <c r="HT422" s="104"/>
      <c r="HU422" s="104"/>
      <c r="HV422" s="104"/>
      <c r="HW422" s="104"/>
      <c r="HX422" s="104"/>
      <c r="HY422" s="104"/>
      <c r="HZ422" s="104"/>
      <c r="IA422" s="104"/>
      <c r="IB422" s="104"/>
      <c r="IC422" s="104"/>
      <c r="ID422" s="104"/>
      <c r="IE422" s="104"/>
      <c r="IF422" s="104"/>
      <c r="IG422" s="104"/>
      <c r="IH422" s="104"/>
      <c r="II422" s="104"/>
      <c r="IJ422" s="104"/>
      <c r="IK422" s="104"/>
      <c r="IL422" s="104"/>
      <c r="IM422" s="104"/>
      <c r="IN422" s="104"/>
      <c r="IO422" s="104"/>
      <c r="IP422" s="104"/>
      <c r="IQ422" s="104"/>
      <c r="IR422" s="104"/>
      <c r="IS422" s="104"/>
      <c r="IT422" s="104"/>
      <c r="IU422" s="104"/>
      <c r="IV422" s="104"/>
      <c r="IW422" s="104"/>
      <c r="IX422" s="104"/>
      <c r="IY422" s="104"/>
      <c r="IZ422" s="104"/>
      <c r="JA422" s="104"/>
    </row>
    <row r="423" spans="61:261" x14ac:dyDescent="0.2">
      <c r="BI423" s="104"/>
      <c r="BJ423" s="104"/>
      <c r="BK423" s="104"/>
      <c r="BL423" s="104"/>
      <c r="BM423" s="104"/>
      <c r="BN423" s="104"/>
      <c r="BO423" s="104"/>
      <c r="BP423" s="104"/>
      <c r="BQ423" s="104"/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4"/>
      <c r="CB423" s="104"/>
      <c r="CC423" s="104"/>
      <c r="CD423" s="104"/>
      <c r="CE423" s="104"/>
      <c r="CF423" s="104"/>
      <c r="CG423" s="104"/>
      <c r="CH423" s="104"/>
      <c r="CI423" s="104"/>
      <c r="CJ423" s="104"/>
      <c r="CK423" s="104"/>
      <c r="CL423" s="104"/>
      <c r="CM423" s="104"/>
      <c r="CN423" s="104"/>
      <c r="CO423" s="104"/>
      <c r="CP423" s="104"/>
      <c r="CQ423" s="104"/>
      <c r="CR423" s="104"/>
      <c r="CS423" s="104"/>
      <c r="CT423" s="104"/>
      <c r="CU423" s="104"/>
      <c r="CV423" s="104"/>
      <c r="CW423" s="104"/>
      <c r="CX423" s="104"/>
      <c r="CY423" s="104"/>
      <c r="CZ423" s="104"/>
      <c r="DA423" s="104"/>
      <c r="DB423" s="104"/>
      <c r="DC423" s="104"/>
      <c r="DD423" s="104"/>
      <c r="DE423" s="104"/>
      <c r="DF423" s="104"/>
      <c r="DG423" s="104"/>
      <c r="DH423" s="104"/>
      <c r="DI423" s="104"/>
      <c r="DJ423" s="104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104"/>
      <c r="DV423" s="104"/>
      <c r="DW423" s="104"/>
      <c r="DX423" s="104"/>
      <c r="DY423" s="104"/>
      <c r="DZ423" s="104"/>
      <c r="EA423" s="104"/>
      <c r="EB423" s="104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4"/>
      <c r="FA423" s="104"/>
      <c r="FB423" s="104"/>
      <c r="FC423" s="104"/>
      <c r="FD423" s="104"/>
      <c r="FE423" s="104"/>
      <c r="FF423" s="104"/>
      <c r="FG423" s="104"/>
      <c r="FH423" s="104"/>
      <c r="FI423" s="104"/>
      <c r="FJ423" s="104"/>
      <c r="FK423" s="104"/>
      <c r="FL423" s="104"/>
      <c r="FM423" s="104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  <c r="GA423" s="104"/>
      <c r="GB423" s="104"/>
      <c r="GC423" s="104"/>
      <c r="GD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  <c r="HL423" s="104"/>
      <c r="HM423" s="104"/>
      <c r="HN423" s="104"/>
      <c r="HO423" s="104"/>
      <c r="HP423" s="104"/>
      <c r="HQ423" s="104"/>
      <c r="HR423" s="104"/>
      <c r="HS423" s="104"/>
      <c r="HT423" s="104"/>
      <c r="HU423" s="104"/>
      <c r="HV423" s="104"/>
      <c r="HW423" s="104"/>
      <c r="HX423" s="104"/>
      <c r="HY423" s="104"/>
      <c r="HZ423" s="104"/>
      <c r="IA423" s="104"/>
      <c r="IB423" s="104"/>
      <c r="IC423" s="104"/>
      <c r="ID423" s="104"/>
      <c r="IE423" s="104"/>
      <c r="IF423" s="104"/>
      <c r="IG423" s="104"/>
      <c r="IH423" s="104"/>
      <c r="II423" s="104"/>
      <c r="IJ423" s="104"/>
      <c r="IK423" s="104"/>
      <c r="IL423" s="104"/>
      <c r="IM423" s="104"/>
      <c r="IN423" s="104"/>
      <c r="IO423" s="104"/>
      <c r="IP423" s="104"/>
      <c r="IQ423" s="104"/>
      <c r="IR423" s="104"/>
      <c r="IS423" s="104"/>
      <c r="IT423" s="104"/>
      <c r="IU423" s="104"/>
      <c r="IV423" s="104"/>
      <c r="IW423" s="104"/>
      <c r="IX423" s="104"/>
      <c r="IY423" s="104"/>
      <c r="IZ423" s="104"/>
      <c r="JA423" s="104"/>
    </row>
    <row r="424" spans="61:261" x14ac:dyDescent="0.2">
      <c r="BI424" s="104"/>
      <c r="BJ424" s="104"/>
      <c r="BK424" s="104"/>
      <c r="BL424" s="104"/>
      <c r="BM424" s="104"/>
      <c r="BN424" s="104"/>
      <c r="BO424" s="104"/>
      <c r="BP424" s="104"/>
      <c r="BQ424" s="104"/>
      <c r="BR424" s="104"/>
      <c r="BS424" s="104"/>
      <c r="BT424" s="104"/>
      <c r="BU424" s="104"/>
      <c r="BV424" s="104"/>
      <c r="BW424" s="104"/>
      <c r="BX424" s="104"/>
      <c r="BY424" s="104"/>
      <c r="BZ424" s="104"/>
      <c r="CA424" s="104"/>
      <c r="CB424" s="104"/>
      <c r="CC424" s="104"/>
      <c r="CD424" s="104"/>
      <c r="CE424" s="104"/>
      <c r="CF424" s="104"/>
      <c r="CG424" s="104"/>
      <c r="CH424" s="104"/>
      <c r="CI424" s="104"/>
      <c r="CJ424" s="104"/>
      <c r="CK424" s="104"/>
      <c r="CL424" s="104"/>
      <c r="CM424" s="104"/>
      <c r="CN424" s="104"/>
      <c r="CO424" s="104"/>
      <c r="CP424" s="104"/>
      <c r="CQ424" s="104"/>
      <c r="CR424" s="104"/>
      <c r="CS424" s="104"/>
      <c r="CT424" s="104"/>
      <c r="CU424" s="104"/>
      <c r="CV424" s="104"/>
      <c r="CW424" s="104"/>
      <c r="CX424" s="104"/>
      <c r="CY424" s="104"/>
      <c r="CZ424" s="104"/>
      <c r="DA424" s="104"/>
      <c r="DB424" s="104"/>
      <c r="DC424" s="104"/>
      <c r="DD424" s="104"/>
      <c r="DE424" s="104"/>
      <c r="DF424" s="104"/>
      <c r="DG424" s="104"/>
      <c r="DH424" s="104"/>
      <c r="DI424" s="104"/>
      <c r="DJ424" s="104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104"/>
      <c r="DV424" s="104"/>
      <c r="DW424" s="104"/>
      <c r="DX424" s="104"/>
      <c r="DY424" s="104"/>
      <c r="DZ424" s="104"/>
      <c r="EA424" s="104"/>
      <c r="EB424" s="104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04"/>
      <c r="EZ424" s="104"/>
      <c r="FA424" s="104"/>
      <c r="FB424" s="104"/>
      <c r="FC424" s="104"/>
      <c r="FD424" s="104"/>
      <c r="FE424" s="104"/>
      <c r="FF424" s="104"/>
      <c r="FG424" s="104"/>
      <c r="FH424" s="104"/>
      <c r="FI424" s="104"/>
      <c r="FJ424" s="104"/>
      <c r="FK424" s="104"/>
      <c r="FL424" s="104"/>
      <c r="FM424" s="104"/>
      <c r="FN424" s="104"/>
      <c r="FO424" s="104"/>
      <c r="FP424" s="104"/>
      <c r="FQ424" s="104"/>
      <c r="FR424" s="104"/>
      <c r="FS424" s="104"/>
      <c r="FT424" s="104"/>
      <c r="FU424" s="104"/>
      <c r="FV424" s="104"/>
      <c r="FW424" s="104"/>
      <c r="FX424" s="104"/>
      <c r="FY424" s="104"/>
      <c r="FZ424" s="104"/>
      <c r="GA424" s="104"/>
      <c r="GB424" s="104"/>
      <c r="GC424" s="104"/>
      <c r="GD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  <c r="HL424" s="104"/>
      <c r="HM424" s="104"/>
      <c r="HN424" s="104"/>
      <c r="HO424" s="104"/>
      <c r="HP424" s="104"/>
      <c r="HQ424" s="104"/>
      <c r="HR424" s="104"/>
      <c r="HS424" s="104"/>
      <c r="HT424" s="104"/>
      <c r="HU424" s="104"/>
      <c r="HV424" s="104"/>
      <c r="HW424" s="104"/>
      <c r="HX424" s="104"/>
      <c r="HY424" s="104"/>
      <c r="HZ424" s="104"/>
      <c r="IA424" s="104"/>
      <c r="IB424" s="104"/>
      <c r="IC424" s="104"/>
      <c r="ID424" s="104"/>
      <c r="IE424" s="104"/>
      <c r="IF424" s="104"/>
      <c r="IG424" s="104"/>
      <c r="IH424" s="104"/>
      <c r="II424" s="104"/>
      <c r="IJ424" s="104"/>
      <c r="IK424" s="104"/>
      <c r="IL424" s="104"/>
      <c r="IM424" s="104"/>
      <c r="IN424" s="104"/>
      <c r="IO424" s="104"/>
      <c r="IP424" s="104"/>
      <c r="IQ424" s="104"/>
      <c r="IR424" s="104"/>
      <c r="IS424" s="104"/>
      <c r="IT424" s="104"/>
      <c r="IU424" s="104"/>
      <c r="IV424" s="104"/>
      <c r="IW424" s="104"/>
      <c r="IX424" s="104"/>
      <c r="IY424" s="104"/>
      <c r="IZ424" s="104"/>
      <c r="JA424" s="104"/>
    </row>
  </sheetData>
  <sheetProtection algorithmName="SHA-512" hashValue="mBtefCi8GuGBWTrdBCov60u2RIm/bEAMqIvS42uUeEPTUAwv4qQ2IE7J0IHT5HJPw9aVM7v8nMZwHrbq4z0gCA==" saltValue="DvpGgaQgBrPGjtHJf1Z3DQ==" spinCount="100000" sheet="1" objects="1" scenarios="1" selectLockedCells="1"/>
  <mergeCells count="25">
    <mergeCell ref="B5:C5"/>
    <mergeCell ref="D5:P5"/>
    <mergeCell ref="G11:H11"/>
    <mergeCell ref="D14:G14"/>
    <mergeCell ref="H14:I14"/>
    <mergeCell ref="J14:K14"/>
    <mergeCell ref="L14:P14"/>
    <mergeCell ref="N15:N16"/>
    <mergeCell ref="O15:O16"/>
    <mergeCell ref="P15:P16"/>
    <mergeCell ref="D22:P22"/>
    <mergeCell ref="D15:D16"/>
    <mergeCell ref="F15:F16"/>
    <mergeCell ref="G15:G16"/>
    <mergeCell ref="H15:H16"/>
    <mergeCell ref="I15:I16"/>
    <mergeCell ref="J15:J16"/>
    <mergeCell ref="K15:K16"/>
    <mergeCell ref="L15:L16"/>
    <mergeCell ref="Q31:R32"/>
    <mergeCell ref="L26:M26"/>
    <mergeCell ref="D28:H28"/>
    <mergeCell ref="D29:H29"/>
    <mergeCell ref="L31:M32"/>
    <mergeCell ref="D26:E26"/>
  </mergeCells>
  <phoneticPr fontId="26" type="noConversion"/>
  <conditionalFormatting sqref="L18">
    <cfRule type="expression" dxfId="0" priority="1">
      <formula>+$L$17="autre béton (kg co²/m3)"</formula>
    </cfRule>
  </conditionalFormatting>
  <dataValidations count="5">
    <dataValidation type="list" allowBlank="1" showInputMessage="1" showErrorMessage="1" sqref="E17" xr:uid="{136D98AA-4279-4160-A9F6-5694D0467289}">
      <formula1>$X$11:$X$12</formula1>
    </dataValidation>
    <dataValidation type="list" allowBlank="1" showInputMessage="1" showErrorMessage="1" sqref="D17" xr:uid="{A02DD97D-10AD-4BFE-B32A-55EF466D24EF}">
      <formula1>$W$24:$W$27</formula1>
    </dataValidation>
    <dataValidation type="list" allowBlank="1" showInputMessage="1" showErrorMessage="1" sqref="M17" xr:uid="{6C2A93BE-DFC7-492D-A207-6857C0B1014D}">
      <formula1>$V$17:$V$20</formula1>
    </dataValidation>
    <dataValidation type="list" allowBlank="1" showInputMessage="1" showErrorMessage="1" sqref="L17" xr:uid="{07863DF2-6BC7-4C58-8163-6A319AE82F3C}">
      <formula1>$W$17:$W$19</formula1>
    </dataValidation>
    <dataValidation type="list" allowBlank="1" showInputMessage="1" showErrorMessage="1" sqref="H17" xr:uid="{413A1134-652E-447F-9901-1688D613334B}">
      <formula1>$W$42:$W$70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910B-E3C6-4B2E-9A98-B89B5DAFF7E6}">
  <sheetPr codeName="Feuil2">
    <pageSetUpPr fitToPage="1"/>
  </sheetPr>
  <dimension ref="A1:AM46"/>
  <sheetViews>
    <sheetView showGridLines="0" showZeros="0" zoomScale="85" zoomScaleNormal="80" workbookViewId="0">
      <selection activeCell="A7" sqref="A7:AM41"/>
    </sheetView>
  </sheetViews>
  <sheetFormatPr baseColWidth="10" defaultColWidth="11.5703125" defaultRowHeight="14.25" x14ac:dyDescent="0.2"/>
  <cols>
    <col min="1" max="1" width="16.85546875" style="1" customWidth="1"/>
    <col min="2" max="3" width="6.7109375" style="1" customWidth="1"/>
    <col min="4" max="4" width="5.85546875" style="7" customWidth="1"/>
    <col min="5" max="5" width="2.7109375" style="8" customWidth="1"/>
    <col min="6" max="6" width="3.7109375" style="8" customWidth="1"/>
    <col min="7" max="7" width="6.7109375" style="1" customWidth="1"/>
    <col min="8" max="8" width="2.7109375" style="9" customWidth="1"/>
    <col min="9" max="9" width="3.7109375" style="8" customWidth="1"/>
    <col min="10" max="10" width="6.7109375" style="7" customWidth="1"/>
    <col min="11" max="11" width="2.7109375" style="8" customWidth="1"/>
    <col min="12" max="12" width="3.7109375" style="8" customWidth="1"/>
    <col min="13" max="13" width="6.7109375" style="1" customWidth="1"/>
    <col min="14" max="14" width="2.7109375" style="8" customWidth="1"/>
    <col min="15" max="15" width="3.7109375" style="8" customWidth="1"/>
    <col min="16" max="16" width="6.7109375" style="7" customWidth="1"/>
    <col min="17" max="17" width="2.7109375" style="8" customWidth="1"/>
    <col min="18" max="18" width="3.7109375" style="8" customWidth="1"/>
    <col min="19" max="19" width="6.7109375" style="1" customWidth="1"/>
    <col min="20" max="20" width="2.7109375" style="8" customWidth="1"/>
    <col min="21" max="21" width="3.7109375" style="8" customWidth="1"/>
    <col min="22" max="22" width="6.7109375" style="7" customWidth="1"/>
    <col min="23" max="23" width="2.7109375" style="8" customWidth="1"/>
    <col min="24" max="24" width="3.7109375" style="8" customWidth="1"/>
    <col min="25" max="25" width="6.7109375" style="1" customWidth="1"/>
    <col min="26" max="26" width="2.7109375" style="8" customWidth="1"/>
    <col min="27" max="27" width="3.7109375" style="8" customWidth="1"/>
    <col min="28" max="28" width="5.85546875" style="7" customWidth="1"/>
    <col min="29" max="29" width="2.7109375" style="8" customWidth="1"/>
    <col min="30" max="30" width="3.7109375" style="8" customWidth="1"/>
    <col min="31" max="31" width="6.7109375" style="1" customWidth="1"/>
    <col min="32" max="32" width="2.7109375" style="9" customWidth="1"/>
    <col min="33" max="33" width="3.7109375" style="8" customWidth="1"/>
    <col min="34" max="34" width="6.7109375" style="1" customWidth="1"/>
    <col min="35" max="35" width="2.7109375" style="8" customWidth="1"/>
    <col min="36" max="36" width="3.7109375" style="8" customWidth="1"/>
    <col min="37" max="37" width="6.7109375" style="1" customWidth="1"/>
    <col min="38" max="38" width="2.7109375" style="8" customWidth="1"/>
    <col min="39" max="39" width="3.7109375" style="8" customWidth="1"/>
    <col min="40" max="16384" width="11.5703125" style="1"/>
  </cols>
  <sheetData>
    <row r="1" spans="1:39" ht="23.25" x14ac:dyDescent="0.2">
      <c r="A1" s="48" t="s">
        <v>16</v>
      </c>
    </row>
    <row r="2" spans="1:39" x14ac:dyDescent="0.2">
      <c r="B2" s="2"/>
      <c r="P2" s="10"/>
      <c r="V2" s="10"/>
    </row>
    <row r="3" spans="1:39" ht="18" customHeight="1" x14ac:dyDescent="0.2">
      <c r="A3" s="269" t="s">
        <v>0</v>
      </c>
      <c r="B3" s="272" t="s">
        <v>1</v>
      </c>
      <c r="C3" s="273"/>
      <c r="D3" s="274" t="s">
        <v>10</v>
      </c>
      <c r="E3" s="275"/>
      <c r="F3" s="275"/>
      <c r="G3" s="275"/>
      <c r="H3" s="275"/>
      <c r="I3" s="276"/>
      <c r="J3" s="274" t="s">
        <v>11</v>
      </c>
      <c r="K3" s="275"/>
      <c r="L3" s="275"/>
      <c r="M3" s="275"/>
      <c r="N3" s="275"/>
      <c r="O3" s="276"/>
      <c r="P3" s="274" t="s">
        <v>12</v>
      </c>
      <c r="Q3" s="275"/>
      <c r="R3" s="275"/>
      <c r="S3" s="275"/>
      <c r="T3" s="275"/>
      <c r="U3" s="276"/>
      <c r="V3" s="274" t="s">
        <v>13</v>
      </c>
      <c r="W3" s="275"/>
      <c r="X3" s="275"/>
      <c r="Y3" s="275"/>
      <c r="Z3" s="275"/>
      <c r="AA3" s="276"/>
      <c r="AB3" s="274" t="s">
        <v>14</v>
      </c>
      <c r="AC3" s="275"/>
      <c r="AD3" s="275"/>
      <c r="AE3" s="275"/>
      <c r="AF3" s="275"/>
      <c r="AG3" s="276"/>
      <c r="AH3" s="274" t="s">
        <v>15</v>
      </c>
      <c r="AI3" s="275"/>
      <c r="AJ3" s="275"/>
      <c r="AK3" s="275"/>
      <c r="AL3" s="275"/>
      <c r="AM3" s="276"/>
    </row>
    <row r="4" spans="1:39" ht="18" customHeight="1" x14ac:dyDescent="0.2">
      <c r="A4" s="270"/>
      <c r="B4" s="3"/>
      <c r="C4" s="4" t="s">
        <v>2</v>
      </c>
      <c r="D4" s="281"/>
      <c r="E4" s="282"/>
      <c r="F4" s="282"/>
      <c r="G4" s="282"/>
      <c r="H4" s="282"/>
      <c r="I4" s="283"/>
      <c r="J4" s="281"/>
      <c r="K4" s="282"/>
      <c r="L4" s="282"/>
      <c r="M4" s="282"/>
      <c r="N4" s="282"/>
      <c r="O4" s="283"/>
      <c r="P4" s="281"/>
      <c r="Q4" s="282"/>
      <c r="R4" s="282"/>
      <c r="S4" s="282"/>
      <c r="T4" s="282"/>
      <c r="U4" s="283"/>
      <c r="V4" s="281"/>
      <c r="W4" s="282"/>
      <c r="X4" s="282"/>
      <c r="Y4" s="282"/>
      <c r="Z4" s="282"/>
      <c r="AA4" s="283"/>
      <c r="AB4" s="281"/>
      <c r="AC4" s="282"/>
      <c r="AD4" s="282"/>
      <c r="AE4" s="282"/>
      <c r="AF4" s="282"/>
      <c r="AG4" s="283"/>
      <c r="AH4" s="281"/>
      <c r="AI4" s="282"/>
      <c r="AJ4" s="282"/>
      <c r="AK4" s="282"/>
      <c r="AL4" s="282"/>
      <c r="AM4" s="283"/>
    </row>
    <row r="5" spans="1:39" ht="18" customHeight="1" x14ac:dyDescent="0.2">
      <c r="A5" s="271"/>
      <c r="B5" s="5" t="s">
        <v>5</v>
      </c>
      <c r="C5" s="6" t="s">
        <v>6</v>
      </c>
      <c r="D5" s="277" t="s">
        <v>3</v>
      </c>
      <c r="E5" s="278"/>
      <c r="F5" s="279"/>
      <c r="G5" s="278" t="s">
        <v>4</v>
      </c>
      <c r="H5" s="278"/>
      <c r="I5" s="280"/>
      <c r="J5" s="277" t="s">
        <v>3</v>
      </c>
      <c r="K5" s="278"/>
      <c r="L5" s="279"/>
      <c r="M5" s="278" t="s">
        <v>4</v>
      </c>
      <c r="N5" s="278"/>
      <c r="O5" s="280"/>
      <c r="P5" s="277" t="s">
        <v>3</v>
      </c>
      <c r="Q5" s="278"/>
      <c r="R5" s="279"/>
      <c r="S5" s="278" t="s">
        <v>4</v>
      </c>
      <c r="T5" s="278"/>
      <c r="U5" s="280"/>
      <c r="V5" s="277" t="s">
        <v>3</v>
      </c>
      <c r="W5" s="278"/>
      <c r="X5" s="279"/>
      <c r="Y5" s="278" t="s">
        <v>4</v>
      </c>
      <c r="Z5" s="278"/>
      <c r="AA5" s="280"/>
      <c r="AB5" s="277" t="s">
        <v>3</v>
      </c>
      <c r="AC5" s="278"/>
      <c r="AD5" s="279"/>
      <c r="AE5" s="278" t="s">
        <v>4</v>
      </c>
      <c r="AF5" s="278"/>
      <c r="AG5" s="280"/>
      <c r="AH5" s="277" t="s">
        <v>3</v>
      </c>
      <c r="AI5" s="278"/>
      <c r="AJ5" s="279"/>
      <c r="AK5" s="278" t="s">
        <v>4</v>
      </c>
      <c r="AL5" s="278"/>
      <c r="AM5" s="280"/>
    </row>
    <row r="6" spans="1:39" ht="1.9" customHeight="1" x14ac:dyDescent="0.2">
      <c r="G6" s="7"/>
      <c r="M6" s="7"/>
      <c r="S6" s="7"/>
      <c r="Y6" s="7"/>
      <c r="AE6" s="7"/>
      <c r="AK6" s="7"/>
    </row>
    <row r="7" spans="1:39" ht="19.899999999999999" customHeight="1" x14ac:dyDescent="0.2">
      <c r="A7" s="38" t="s">
        <v>103</v>
      </c>
      <c r="B7" s="15">
        <v>70</v>
      </c>
      <c r="C7" s="16">
        <v>150</v>
      </c>
      <c r="D7" s="17">
        <v>7.18</v>
      </c>
      <c r="E7" s="18" t="s">
        <v>104</v>
      </c>
      <c r="F7" s="19" t="s">
        <v>105</v>
      </c>
      <c r="G7" s="20">
        <v>7.56</v>
      </c>
      <c r="H7" s="18" t="s">
        <v>104</v>
      </c>
      <c r="I7" s="21" t="s">
        <v>105</v>
      </c>
      <c r="J7" s="17">
        <v>7.61</v>
      </c>
      <c r="K7" s="18" t="s">
        <v>104</v>
      </c>
      <c r="L7" s="19" t="s">
        <v>105</v>
      </c>
      <c r="M7" s="20">
        <v>8.02</v>
      </c>
      <c r="N7" s="18" t="s">
        <v>104</v>
      </c>
      <c r="O7" s="21" t="s">
        <v>105</v>
      </c>
      <c r="P7" s="17">
        <v>7.75</v>
      </c>
      <c r="Q7" s="18" t="s">
        <v>104</v>
      </c>
      <c r="R7" s="19" t="s">
        <v>105</v>
      </c>
      <c r="S7" s="20">
        <v>7.99</v>
      </c>
      <c r="T7" s="18" t="s">
        <v>104</v>
      </c>
      <c r="U7" s="21" t="s">
        <v>106</v>
      </c>
      <c r="V7" s="17" t="e">
        <v>#REF!</v>
      </c>
      <c r="W7" s="18" t="e">
        <v>#REF!</v>
      </c>
      <c r="X7" s="19" t="e">
        <v>#REF!</v>
      </c>
      <c r="Y7" s="20" t="e">
        <v>#REF!</v>
      </c>
      <c r="Z7" s="18" t="e">
        <v>#REF!</v>
      </c>
      <c r="AA7" s="21" t="e">
        <v>#REF!</v>
      </c>
      <c r="AB7" s="17" t="e">
        <v>#REF!</v>
      </c>
      <c r="AC7" s="18" t="e">
        <v>#REF!</v>
      </c>
      <c r="AD7" s="19" t="e">
        <v>#REF!</v>
      </c>
      <c r="AE7" s="20" t="e">
        <v>#REF!</v>
      </c>
      <c r="AF7" s="18" t="e">
        <v>#REF!</v>
      </c>
      <c r="AG7" s="21" t="e">
        <v>#REF!</v>
      </c>
      <c r="AH7" s="17" t="e">
        <v>#REF!</v>
      </c>
      <c r="AI7" s="18" t="e">
        <v>#REF!</v>
      </c>
      <c r="AJ7" s="19" t="e">
        <v>#REF!</v>
      </c>
      <c r="AK7" s="20" t="e">
        <v>#REF!</v>
      </c>
      <c r="AL7" s="18" t="e">
        <v>#REF!</v>
      </c>
      <c r="AM7" s="21" t="e">
        <v>#REF!</v>
      </c>
    </row>
    <row r="8" spans="1:39" ht="19.899999999999999" customHeight="1" x14ac:dyDescent="0.2">
      <c r="A8" s="39" t="s">
        <v>103</v>
      </c>
      <c r="B8" s="22">
        <v>190</v>
      </c>
      <c r="C8" s="23">
        <v>150</v>
      </c>
      <c r="D8" s="24">
        <v>6.62</v>
      </c>
      <c r="E8" s="25" t="s">
        <v>104</v>
      </c>
      <c r="F8" s="26" t="s">
        <v>105</v>
      </c>
      <c r="G8" s="27">
        <v>6.97</v>
      </c>
      <c r="H8" s="25" t="s">
        <v>104</v>
      </c>
      <c r="I8" s="28" t="s">
        <v>105</v>
      </c>
      <c r="J8" s="24">
        <v>7.01</v>
      </c>
      <c r="K8" s="25" t="s">
        <v>104</v>
      </c>
      <c r="L8" s="26" t="s">
        <v>105</v>
      </c>
      <c r="M8" s="27">
        <v>7.39</v>
      </c>
      <c r="N8" s="25" t="s">
        <v>104</v>
      </c>
      <c r="O8" s="28" t="s">
        <v>105</v>
      </c>
      <c r="P8" s="24">
        <v>7.14</v>
      </c>
      <c r="Q8" s="25" t="s">
        <v>104</v>
      </c>
      <c r="R8" s="26" t="s">
        <v>105</v>
      </c>
      <c r="S8" s="27">
        <v>7.53</v>
      </c>
      <c r="T8" s="25" t="s">
        <v>104</v>
      </c>
      <c r="U8" s="28" t="s">
        <v>105</v>
      </c>
      <c r="V8" s="24" t="e">
        <v>#REF!</v>
      </c>
      <c r="W8" s="25" t="e">
        <v>#REF!</v>
      </c>
      <c r="X8" s="26" t="e">
        <v>#REF!</v>
      </c>
      <c r="Y8" s="27" t="e">
        <v>#REF!</v>
      </c>
      <c r="Z8" s="25" t="e">
        <v>#REF!</v>
      </c>
      <c r="AA8" s="28" t="e">
        <v>#REF!</v>
      </c>
      <c r="AB8" s="24" t="e">
        <v>#REF!</v>
      </c>
      <c r="AC8" s="25" t="e">
        <v>#REF!</v>
      </c>
      <c r="AD8" s="26" t="e">
        <v>#REF!</v>
      </c>
      <c r="AE8" s="27" t="e">
        <v>#REF!</v>
      </c>
      <c r="AF8" s="25" t="e">
        <v>#REF!</v>
      </c>
      <c r="AG8" s="28" t="e">
        <v>#REF!</v>
      </c>
      <c r="AH8" s="24" t="e">
        <v>#REF!</v>
      </c>
      <c r="AI8" s="25" t="e">
        <v>#REF!</v>
      </c>
      <c r="AJ8" s="26" t="e">
        <v>#REF!</v>
      </c>
      <c r="AK8" s="27" t="e">
        <v>#REF!</v>
      </c>
      <c r="AL8" s="25" t="e">
        <v>#REF!</v>
      </c>
      <c r="AM8" s="28" t="e">
        <v>#REF!</v>
      </c>
    </row>
    <row r="9" spans="1:39" ht="19.899999999999999" customHeight="1" x14ac:dyDescent="0.2">
      <c r="A9" s="39" t="s">
        <v>103</v>
      </c>
      <c r="B9" s="29">
        <v>240</v>
      </c>
      <c r="C9" s="30">
        <v>150</v>
      </c>
      <c r="D9" s="31">
        <v>6.4</v>
      </c>
      <c r="E9" s="32" t="s">
        <v>104</v>
      </c>
      <c r="F9" s="33" t="s">
        <v>105</v>
      </c>
      <c r="G9" s="34">
        <v>6.74</v>
      </c>
      <c r="H9" s="32" t="s">
        <v>104</v>
      </c>
      <c r="I9" s="35" t="s">
        <v>105</v>
      </c>
      <c r="J9" s="31">
        <v>6.8</v>
      </c>
      <c r="K9" s="32" t="s">
        <v>104</v>
      </c>
      <c r="L9" s="33" t="s">
        <v>105</v>
      </c>
      <c r="M9" s="34">
        <v>7.17</v>
      </c>
      <c r="N9" s="32" t="s">
        <v>104</v>
      </c>
      <c r="O9" s="35" t="s">
        <v>105</v>
      </c>
      <c r="P9" s="31">
        <v>6.93</v>
      </c>
      <c r="Q9" s="32" t="s">
        <v>104</v>
      </c>
      <c r="R9" s="33" t="s">
        <v>105</v>
      </c>
      <c r="S9" s="34">
        <v>7.31</v>
      </c>
      <c r="T9" s="32" t="s">
        <v>104</v>
      </c>
      <c r="U9" s="35" t="s">
        <v>105</v>
      </c>
      <c r="V9" s="31" t="e">
        <v>#REF!</v>
      </c>
      <c r="W9" s="32" t="e">
        <v>#REF!</v>
      </c>
      <c r="X9" s="33" t="e">
        <v>#REF!</v>
      </c>
      <c r="Y9" s="34" t="e">
        <v>#REF!</v>
      </c>
      <c r="Z9" s="32" t="e">
        <v>#REF!</v>
      </c>
      <c r="AA9" s="35" t="e">
        <v>#REF!</v>
      </c>
      <c r="AB9" s="31" t="e">
        <v>#REF!</v>
      </c>
      <c r="AC9" s="32" t="e">
        <v>#REF!</v>
      </c>
      <c r="AD9" s="33" t="e">
        <v>#REF!</v>
      </c>
      <c r="AE9" s="34" t="e">
        <v>#REF!</v>
      </c>
      <c r="AF9" s="32" t="e">
        <v>#REF!</v>
      </c>
      <c r="AG9" s="35" t="e">
        <v>#REF!</v>
      </c>
      <c r="AH9" s="31" t="e">
        <v>#REF!</v>
      </c>
      <c r="AI9" s="32" t="e">
        <v>#REF!</v>
      </c>
      <c r="AJ9" s="33" t="e">
        <v>#REF!</v>
      </c>
      <c r="AK9" s="34" t="e">
        <v>#REF!</v>
      </c>
      <c r="AL9" s="32" t="e">
        <v>#REF!</v>
      </c>
      <c r="AM9" s="35" t="e">
        <v>#REF!</v>
      </c>
    </row>
    <row r="10" spans="1:39" ht="19.899999999999999" customHeight="1" x14ac:dyDescent="0.2">
      <c r="A10" s="39" t="s">
        <v>103</v>
      </c>
      <c r="B10" s="22">
        <v>270</v>
      </c>
      <c r="C10" s="23">
        <v>150</v>
      </c>
      <c r="D10" s="24">
        <v>6.27</v>
      </c>
      <c r="E10" s="25" t="s">
        <v>104</v>
      </c>
      <c r="F10" s="26" t="s">
        <v>105</v>
      </c>
      <c r="G10" s="27">
        <v>6.61</v>
      </c>
      <c r="H10" s="25" t="s">
        <v>104</v>
      </c>
      <c r="I10" s="28" t="s">
        <v>105</v>
      </c>
      <c r="J10" s="24">
        <v>6.69</v>
      </c>
      <c r="K10" s="25" t="s">
        <v>104</v>
      </c>
      <c r="L10" s="26" t="s">
        <v>105</v>
      </c>
      <c r="M10" s="27">
        <v>7.05</v>
      </c>
      <c r="N10" s="25" t="s">
        <v>104</v>
      </c>
      <c r="O10" s="28" t="s">
        <v>105</v>
      </c>
      <c r="P10" s="24">
        <v>6.81</v>
      </c>
      <c r="Q10" s="25" t="s">
        <v>104</v>
      </c>
      <c r="R10" s="26" t="s">
        <v>105</v>
      </c>
      <c r="S10" s="27">
        <v>7.18</v>
      </c>
      <c r="T10" s="25" t="s">
        <v>104</v>
      </c>
      <c r="U10" s="28" t="s">
        <v>105</v>
      </c>
      <c r="V10" s="24" t="e">
        <v>#REF!</v>
      </c>
      <c r="W10" s="25" t="e">
        <v>#REF!</v>
      </c>
      <c r="X10" s="26" t="e">
        <v>#REF!</v>
      </c>
      <c r="Y10" s="27" t="e">
        <v>#REF!</v>
      </c>
      <c r="Z10" s="25" t="e">
        <v>#REF!</v>
      </c>
      <c r="AA10" s="28" t="e">
        <v>#REF!</v>
      </c>
      <c r="AB10" s="24" t="e">
        <v>#REF!</v>
      </c>
      <c r="AC10" s="25" t="e">
        <v>#REF!</v>
      </c>
      <c r="AD10" s="26" t="e">
        <v>#REF!</v>
      </c>
      <c r="AE10" s="27" t="e">
        <v>#REF!</v>
      </c>
      <c r="AF10" s="25" t="e">
        <v>#REF!</v>
      </c>
      <c r="AG10" s="28" t="e">
        <v>#REF!</v>
      </c>
      <c r="AH10" s="24" t="e">
        <v>#REF!</v>
      </c>
      <c r="AI10" s="25" t="e">
        <v>#REF!</v>
      </c>
      <c r="AJ10" s="26" t="e">
        <v>#REF!</v>
      </c>
      <c r="AK10" s="27" t="e">
        <v>#REF!</v>
      </c>
      <c r="AL10" s="25" t="e">
        <v>#REF!</v>
      </c>
      <c r="AM10" s="28" t="e">
        <v>#REF!</v>
      </c>
    </row>
    <row r="11" spans="1:39" ht="19.899999999999999" customHeight="1" x14ac:dyDescent="0.2">
      <c r="A11" s="39" t="s">
        <v>103</v>
      </c>
      <c r="B11" s="29">
        <v>70</v>
      </c>
      <c r="C11" s="30">
        <v>250</v>
      </c>
      <c r="D11" s="31">
        <v>6.7</v>
      </c>
      <c r="E11" s="32" t="s">
        <v>104</v>
      </c>
      <c r="F11" s="33" t="s">
        <v>105</v>
      </c>
      <c r="G11" s="34">
        <v>7.06</v>
      </c>
      <c r="H11" s="32" t="s">
        <v>104</v>
      </c>
      <c r="I11" s="35" t="s">
        <v>105</v>
      </c>
      <c r="J11" s="31">
        <v>7.1</v>
      </c>
      <c r="K11" s="32" t="s">
        <v>104</v>
      </c>
      <c r="L11" s="33" t="s">
        <v>105</v>
      </c>
      <c r="M11" s="34">
        <v>7.49</v>
      </c>
      <c r="N11" s="32" t="s">
        <v>104</v>
      </c>
      <c r="O11" s="35" t="s">
        <v>105</v>
      </c>
      <c r="P11" s="31">
        <v>7.24</v>
      </c>
      <c r="Q11" s="32" t="s">
        <v>104</v>
      </c>
      <c r="R11" s="33" t="s">
        <v>105</v>
      </c>
      <c r="S11" s="34">
        <v>7.63</v>
      </c>
      <c r="T11" s="32" t="s">
        <v>104</v>
      </c>
      <c r="U11" s="35" t="s">
        <v>105</v>
      </c>
      <c r="V11" s="31" t="e">
        <v>#REF!</v>
      </c>
      <c r="W11" s="32" t="e">
        <v>#REF!</v>
      </c>
      <c r="X11" s="33" t="e">
        <v>#REF!</v>
      </c>
      <c r="Y11" s="34" t="e">
        <v>#REF!</v>
      </c>
      <c r="Z11" s="32" t="e">
        <v>#REF!</v>
      </c>
      <c r="AA11" s="35" t="e">
        <v>#REF!</v>
      </c>
      <c r="AB11" s="31" t="e">
        <v>#REF!</v>
      </c>
      <c r="AC11" s="32" t="e">
        <v>#REF!</v>
      </c>
      <c r="AD11" s="33" t="e">
        <v>#REF!</v>
      </c>
      <c r="AE11" s="34" t="e">
        <v>#REF!</v>
      </c>
      <c r="AF11" s="32" t="e">
        <v>#REF!</v>
      </c>
      <c r="AG11" s="35" t="e">
        <v>#REF!</v>
      </c>
      <c r="AH11" s="31" t="e">
        <v>#REF!</v>
      </c>
      <c r="AI11" s="32" t="e">
        <v>#REF!</v>
      </c>
      <c r="AJ11" s="33" t="e">
        <v>#REF!</v>
      </c>
      <c r="AK11" s="34" t="e">
        <v>#REF!</v>
      </c>
      <c r="AL11" s="32" t="e">
        <v>#REF!</v>
      </c>
      <c r="AM11" s="35" t="e">
        <v>#REF!</v>
      </c>
    </row>
    <row r="12" spans="1:39" ht="19.899999999999999" customHeight="1" x14ac:dyDescent="0.2">
      <c r="A12" s="39" t="s">
        <v>103</v>
      </c>
      <c r="B12" s="22">
        <v>190</v>
      </c>
      <c r="C12" s="23">
        <v>250</v>
      </c>
      <c r="D12" s="24">
        <v>6.24</v>
      </c>
      <c r="E12" s="25" t="s">
        <v>104</v>
      </c>
      <c r="F12" s="26" t="s">
        <v>105</v>
      </c>
      <c r="G12" s="27">
        <v>6.57</v>
      </c>
      <c r="H12" s="25" t="s">
        <v>104</v>
      </c>
      <c r="I12" s="28" t="s">
        <v>105</v>
      </c>
      <c r="J12" s="24">
        <v>6.61</v>
      </c>
      <c r="K12" s="25" t="s">
        <v>104</v>
      </c>
      <c r="L12" s="26" t="s">
        <v>105</v>
      </c>
      <c r="M12" s="27">
        <v>6.97</v>
      </c>
      <c r="N12" s="25" t="s">
        <v>104</v>
      </c>
      <c r="O12" s="28" t="s">
        <v>105</v>
      </c>
      <c r="P12" s="24">
        <v>6.74</v>
      </c>
      <c r="Q12" s="25" t="s">
        <v>104</v>
      </c>
      <c r="R12" s="26" t="s">
        <v>105</v>
      </c>
      <c r="S12" s="27">
        <v>7.1</v>
      </c>
      <c r="T12" s="25" t="s">
        <v>104</v>
      </c>
      <c r="U12" s="28" t="s">
        <v>105</v>
      </c>
      <c r="V12" s="24" t="e">
        <v>#REF!</v>
      </c>
      <c r="W12" s="25" t="e">
        <v>#REF!</v>
      </c>
      <c r="X12" s="26" t="e">
        <v>#REF!</v>
      </c>
      <c r="Y12" s="27" t="e">
        <v>#REF!</v>
      </c>
      <c r="Z12" s="25" t="e">
        <v>#REF!</v>
      </c>
      <c r="AA12" s="28" t="e">
        <v>#REF!</v>
      </c>
      <c r="AB12" s="24" t="e">
        <v>#REF!</v>
      </c>
      <c r="AC12" s="25" t="e">
        <v>#REF!</v>
      </c>
      <c r="AD12" s="26" t="e">
        <v>#REF!</v>
      </c>
      <c r="AE12" s="27" t="e">
        <v>#REF!</v>
      </c>
      <c r="AF12" s="25" t="e">
        <v>#REF!</v>
      </c>
      <c r="AG12" s="28" t="e">
        <v>#REF!</v>
      </c>
      <c r="AH12" s="24" t="e">
        <v>#REF!</v>
      </c>
      <c r="AI12" s="25" t="e">
        <v>#REF!</v>
      </c>
      <c r="AJ12" s="26" t="e">
        <v>#REF!</v>
      </c>
      <c r="AK12" s="27" t="e">
        <v>#REF!</v>
      </c>
      <c r="AL12" s="25" t="e">
        <v>#REF!</v>
      </c>
      <c r="AM12" s="28" t="e">
        <v>#REF!</v>
      </c>
    </row>
    <row r="13" spans="1:39" ht="19.899999999999999" customHeight="1" x14ac:dyDescent="0.2">
      <c r="A13" s="39" t="s">
        <v>103</v>
      </c>
      <c r="B13" s="29">
        <v>240</v>
      </c>
      <c r="C13" s="30">
        <v>250</v>
      </c>
      <c r="D13" s="31">
        <v>6.07</v>
      </c>
      <c r="E13" s="32" t="s">
        <v>104</v>
      </c>
      <c r="F13" s="33" t="s">
        <v>105</v>
      </c>
      <c r="G13" s="34">
        <v>6.4</v>
      </c>
      <c r="H13" s="32" t="s">
        <v>104</v>
      </c>
      <c r="I13" s="35" t="s">
        <v>105</v>
      </c>
      <c r="J13" s="31">
        <v>6.43</v>
      </c>
      <c r="K13" s="32" t="s">
        <v>104</v>
      </c>
      <c r="L13" s="33" t="s">
        <v>105</v>
      </c>
      <c r="M13" s="34">
        <v>6.78</v>
      </c>
      <c r="N13" s="32" t="s">
        <v>104</v>
      </c>
      <c r="O13" s="35" t="s">
        <v>105</v>
      </c>
      <c r="P13" s="31">
        <v>6.56</v>
      </c>
      <c r="Q13" s="32" t="s">
        <v>104</v>
      </c>
      <c r="R13" s="33" t="s">
        <v>105</v>
      </c>
      <c r="S13" s="34">
        <v>6.91</v>
      </c>
      <c r="T13" s="32" t="s">
        <v>104</v>
      </c>
      <c r="U13" s="35" t="s">
        <v>105</v>
      </c>
      <c r="V13" s="31" t="e">
        <v>#REF!</v>
      </c>
      <c r="W13" s="32" t="e">
        <v>#REF!</v>
      </c>
      <c r="X13" s="33" t="e">
        <v>#REF!</v>
      </c>
      <c r="Y13" s="34" t="e">
        <v>#REF!</v>
      </c>
      <c r="Z13" s="32" t="e">
        <v>#REF!</v>
      </c>
      <c r="AA13" s="35" t="e">
        <v>#REF!</v>
      </c>
      <c r="AB13" s="31" t="e">
        <v>#REF!</v>
      </c>
      <c r="AC13" s="32" t="e">
        <v>#REF!</v>
      </c>
      <c r="AD13" s="33" t="e">
        <v>#REF!</v>
      </c>
      <c r="AE13" s="34" t="e">
        <v>#REF!</v>
      </c>
      <c r="AF13" s="32" t="e">
        <v>#REF!</v>
      </c>
      <c r="AG13" s="35" t="e">
        <v>#REF!</v>
      </c>
      <c r="AH13" s="31" t="e">
        <v>#REF!</v>
      </c>
      <c r="AI13" s="32" t="e">
        <v>#REF!</v>
      </c>
      <c r="AJ13" s="33" t="e">
        <v>#REF!</v>
      </c>
      <c r="AK13" s="34" t="e">
        <v>#REF!</v>
      </c>
      <c r="AL13" s="32" t="e">
        <v>#REF!</v>
      </c>
      <c r="AM13" s="35" t="e">
        <v>#REF!</v>
      </c>
    </row>
    <row r="14" spans="1:39" ht="19.899999999999999" customHeight="1" x14ac:dyDescent="0.2">
      <c r="A14" s="40" t="s">
        <v>103</v>
      </c>
      <c r="B14" s="41">
        <v>270</v>
      </c>
      <c r="C14" s="42">
        <v>250</v>
      </c>
      <c r="D14" s="43">
        <v>5.98</v>
      </c>
      <c r="E14" s="44" t="s">
        <v>104</v>
      </c>
      <c r="F14" s="45" t="s">
        <v>105</v>
      </c>
      <c r="G14" s="46">
        <v>6.3</v>
      </c>
      <c r="H14" s="44" t="s">
        <v>104</v>
      </c>
      <c r="I14" s="47" t="s">
        <v>105</v>
      </c>
      <c r="J14" s="43">
        <v>6.34</v>
      </c>
      <c r="K14" s="44" t="s">
        <v>104</v>
      </c>
      <c r="L14" s="45" t="s">
        <v>105</v>
      </c>
      <c r="M14" s="46">
        <v>6.68</v>
      </c>
      <c r="N14" s="44" t="s">
        <v>104</v>
      </c>
      <c r="O14" s="47" t="s">
        <v>105</v>
      </c>
      <c r="P14" s="43">
        <v>6.45</v>
      </c>
      <c r="Q14" s="44" t="s">
        <v>104</v>
      </c>
      <c r="R14" s="45" t="s">
        <v>105</v>
      </c>
      <c r="S14" s="46">
        <v>6.8</v>
      </c>
      <c r="T14" s="44" t="s">
        <v>104</v>
      </c>
      <c r="U14" s="47" t="s">
        <v>105</v>
      </c>
      <c r="V14" s="43" t="e">
        <v>#REF!</v>
      </c>
      <c r="W14" s="44" t="e">
        <v>#REF!</v>
      </c>
      <c r="X14" s="45" t="e">
        <v>#REF!</v>
      </c>
      <c r="Y14" s="46" t="e">
        <v>#REF!</v>
      </c>
      <c r="Z14" s="44" t="e">
        <v>#REF!</v>
      </c>
      <c r="AA14" s="47" t="e">
        <v>#REF!</v>
      </c>
      <c r="AB14" s="43" t="e">
        <v>#REF!</v>
      </c>
      <c r="AC14" s="44" t="e">
        <v>#REF!</v>
      </c>
      <c r="AD14" s="45" t="e">
        <v>#REF!</v>
      </c>
      <c r="AE14" s="46" t="e">
        <v>#REF!</v>
      </c>
      <c r="AF14" s="44" t="e">
        <v>#REF!</v>
      </c>
      <c r="AG14" s="47" t="e">
        <v>#REF!</v>
      </c>
      <c r="AH14" s="43" t="e">
        <v>#REF!</v>
      </c>
      <c r="AI14" s="44" t="e">
        <v>#REF!</v>
      </c>
      <c r="AJ14" s="45" t="e">
        <v>#REF!</v>
      </c>
      <c r="AK14" s="46" t="e">
        <v>#REF!</v>
      </c>
      <c r="AL14" s="44" t="e">
        <v>#REF!</v>
      </c>
      <c r="AM14" s="47" t="e">
        <v>#REF!</v>
      </c>
    </row>
    <row r="15" spans="1:39" ht="3" customHeight="1" x14ac:dyDescent="0.2">
      <c r="A15" s="1" t="e">
        <v>#REF!</v>
      </c>
      <c r="B15" s="36" t="e">
        <v>#REF!</v>
      </c>
      <c r="C15" s="36" t="e">
        <v>#REF!</v>
      </c>
      <c r="D15" s="37" t="e">
        <v>#REF!</v>
      </c>
      <c r="E15" s="36" t="e">
        <v>#REF!</v>
      </c>
      <c r="F15" s="36" t="e">
        <v>#REF!</v>
      </c>
      <c r="G15" s="36" t="e">
        <v>#REF!</v>
      </c>
      <c r="H15" s="36" t="e">
        <v>#REF!</v>
      </c>
      <c r="I15" s="36" t="e">
        <v>#REF!</v>
      </c>
      <c r="J15" s="37" t="e">
        <v>#REF!</v>
      </c>
      <c r="K15" s="36" t="e">
        <v>#REF!</v>
      </c>
      <c r="L15" s="36" t="e">
        <v>#REF!</v>
      </c>
      <c r="M15" s="36" t="e">
        <v>#REF!</v>
      </c>
      <c r="N15" s="36" t="e">
        <v>#REF!</v>
      </c>
      <c r="O15" s="36" t="e">
        <v>#REF!</v>
      </c>
      <c r="P15" s="37" t="e">
        <v>#REF!</v>
      </c>
      <c r="Q15" s="36" t="e">
        <v>#REF!</v>
      </c>
      <c r="R15" s="36" t="e">
        <v>#REF!</v>
      </c>
      <c r="S15" s="36" t="e">
        <v>#REF!</v>
      </c>
      <c r="T15" s="36" t="e">
        <v>#REF!</v>
      </c>
      <c r="U15" s="36" t="e">
        <v>#REF!</v>
      </c>
      <c r="V15" s="37" t="e">
        <v>#REF!</v>
      </c>
      <c r="W15" s="36" t="e">
        <v>#REF!</v>
      </c>
      <c r="X15" s="36" t="e">
        <v>#REF!</v>
      </c>
      <c r="Y15" s="36" t="e">
        <v>#REF!</v>
      </c>
      <c r="Z15" s="36" t="e">
        <v>#REF!</v>
      </c>
      <c r="AA15" s="36" t="e">
        <v>#REF!</v>
      </c>
      <c r="AB15" s="37" t="e">
        <v>#REF!</v>
      </c>
      <c r="AC15" s="36" t="e">
        <v>#REF!</v>
      </c>
      <c r="AD15" s="36" t="e">
        <v>#REF!</v>
      </c>
      <c r="AE15" s="36" t="e">
        <v>#REF!</v>
      </c>
      <c r="AF15" s="36" t="e">
        <v>#REF!</v>
      </c>
      <c r="AG15" s="36" t="e">
        <v>#REF!</v>
      </c>
      <c r="AH15" s="37" t="e">
        <v>#REF!</v>
      </c>
      <c r="AI15" s="36" t="e">
        <v>#REF!</v>
      </c>
      <c r="AJ15" s="36" t="e">
        <v>#REF!</v>
      </c>
      <c r="AK15" s="36" t="e">
        <v>#REF!</v>
      </c>
      <c r="AL15" s="36" t="e">
        <v>#REF!</v>
      </c>
      <c r="AM15" s="36" t="e">
        <v>#REF!</v>
      </c>
    </row>
    <row r="16" spans="1:39" ht="19.899999999999999" customHeight="1" x14ac:dyDescent="0.2">
      <c r="A16" s="38" t="s">
        <v>107</v>
      </c>
      <c r="B16" s="15">
        <v>70</v>
      </c>
      <c r="C16" s="16">
        <v>150</v>
      </c>
      <c r="D16" s="17">
        <v>7.05</v>
      </c>
      <c r="E16" s="18" t="s">
        <v>104</v>
      </c>
      <c r="F16" s="19" t="s">
        <v>105</v>
      </c>
      <c r="G16" s="20">
        <v>7.43</v>
      </c>
      <c r="H16" s="18" t="s">
        <v>104</v>
      </c>
      <c r="I16" s="21" t="s">
        <v>105</v>
      </c>
      <c r="J16" s="17">
        <v>7.47</v>
      </c>
      <c r="K16" s="18" t="s">
        <v>104</v>
      </c>
      <c r="L16" s="19" t="s">
        <v>105</v>
      </c>
      <c r="M16" s="20">
        <v>7.8</v>
      </c>
      <c r="N16" s="18" t="s">
        <v>104</v>
      </c>
      <c r="O16" s="21" t="s">
        <v>106</v>
      </c>
      <c r="P16" s="17">
        <v>7.61</v>
      </c>
      <c r="Q16" s="18" t="s">
        <v>104</v>
      </c>
      <c r="R16" s="19" t="s">
        <v>105</v>
      </c>
      <c r="S16" s="20">
        <v>7.77</v>
      </c>
      <c r="T16" s="18" t="s">
        <v>104</v>
      </c>
      <c r="U16" s="21" t="s">
        <v>106</v>
      </c>
      <c r="V16" s="17">
        <v>7.27</v>
      </c>
      <c r="W16" s="18" t="s">
        <v>104</v>
      </c>
      <c r="X16" s="19" t="s">
        <v>105</v>
      </c>
      <c r="Y16" s="20">
        <v>7.66</v>
      </c>
      <c r="Z16" s="18" t="s">
        <v>104</v>
      </c>
      <c r="AA16" s="21" t="s">
        <v>105</v>
      </c>
      <c r="AB16" s="17">
        <v>7.71</v>
      </c>
      <c r="AC16" s="18" t="s">
        <v>104</v>
      </c>
      <c r="AD16" s="19" t="s">
        <v>105</v>
      </c>
      <c r="AE16" s="20">
        <v>7.89</v>
      </c>
      <c r="AF16" s="18" t="s">
        <v>104</v>
      </c>
      <c r="AG16" s="21" t="s">
        <v>106</v>
      </c>
      <c r="AH16" s="17">
        <v>7.87</v>
      </c>
      <c r="AI16" s="18" t="s">
        <v>104</v>
      </c>
      <c r="AJ16" s="19" t="s">
        <v>106</v>
      </c>
      <c r="AK16" s="20">
        <v>7.87</v>
      </c>
      <c r="AL16" s="18" t="s">
        <v>104</v>
      </c>
      <c r="AM16" s="21" t="s">
        <v>106</v>
      </c>
    </row>
    <row r="17" spans="1:39" ht="19.899999999999999" customHeight="1" x14ac:dyDescent="0.2">
      <c r="A17" s="39" t="s">
        <v>107</v>
      </c>
      <c r="B17" s="22">
        <v>190</v>
      </c>
      <c r="C17" s="23">
        <v>150</v>
      </c>
      <c r="D17" s="24">
        <v>6.51</v>
      </c>
      <c r="E17" s="25" t="s">
        <v>104</v>
      </c>
      <c r="F17" s="26" t="s">
        <v>105</v>
      </c>
      <c r="G17" s="27">
        <v>6.86</v>
      </c>
      <c r="H17" s="25" t="s">
        <v>104</v>
      </c>
      <c r="I17" s="28" t="s">
        <v>105</v>
      </c>
      <c r="J17" s="24">
        <v>6.95</v>
      </c>
      <c r="K17" s="25" t="s">
        <v>104</v>
      </c>
      <c r="L17" s="26" t="s">
        <v>105</v>
      </c>
      <c r="M17" s="27">
        <v>7.32</v>
      </c>
      <c r="N17" s="25" t="s">
        <v>104</v>
      </c>
      <c r="O17" s="28" t="s">
        <v>105</v>
      </c>
      <c r="P17" s="24">
        <v>7.08</v>
      </c>
      <c r="Q17" s="25" t="s">
        <v>104</v>
      </c>
      <c r="R17" s="26" t="s">
        <v>105</v>
      </c>
      <c r="S17" s="27">
        <v>7.46</v>
      </c>
      <c r="T17" s="25" t="s">
        <v>104</v>
      </c>
      <c r="U17" s="28" t="s">
        <v>105</v>
      </c>
      <c r="V17" s="24">
        <v>6.71</v>
      </c>
      <c r="W17" s="25" t="s">
        <v>104</v>
      </c>
      <c r="X17" s="26" t="s">
        <v>105</v>
      </c>
      <c r="Y17" s="27">
        <v>7.07</v>
      </c>
      <c r="Z17" s="25" t="s">
        <v>104</v>
      </c>
      <c r="AA17" s="28" t="s">
        <v>105</v>
      </c>
      <c r="AB17" s="24">
        <v>7.13</v>
      </c>
      <c r="AC17" s="25" t="s">
        <v>104</v>
      </c>
      <c r="AD17" s="26" t="s">
        <v>105</v>
      </c>
      <c r="AE17" s="27">
        <v>7.52</v>
      </c>
      <c r="AF17" s="25" t="s">
        <v>104</v>
      </c>
      <c r="AG17" s="28" t="s">
        <v>105</v>
      </c>
      <c r="AH17" s="24">
        <v>7.3</v>
      </c>
      <c r="AI17" s="25" t="s">
        <v>104</v>
      </c>
      <c r="AJ17" s="26" t="s">
        <v>105</v>
      </c>
      <c r="AK17" s="27">
        <v>7.69</v>
      </c>
      <c r="AL17" s="25" t="s">
        <v>104</v>
      </c>
      <c r="AM17" s="28" t="s">
        <v>105</v>
      </c>
    </row>
    <row r="18" spans="1:39" ht="19.899999999999999" customHeight="1" x14ac:dyDescent="0.2">
      <c r="A18" s="39" t="s">
        <v>107</v>
      </c>
      <c r="B18" s="29">
        <v>240</v>
      </c>
      <c r="C18" s="30">
        <v>150</v>
      </c>
      <c r="D18" s="31">
        <v>6.31</v>
      </c>
      <c r="E18" s="32" t="s">
        <v>104</v>
      </c>
      <c r="F18" s="33" t="s">
        <v>105</v>
      </c>
      <c r="G18" s="34">
        <v>6.65</v>
      </c>
      <c r="H18" s="32" t="s">
        <v>104</v>
      </c>
      <c r="I18" s="35" t="s">
        <v>105</v>
      </c>
      <c r="J18" s="31">
        <v>6.75</v>
      </c>
      <c r="K18" s="32" t="s">
        <v>104</v>
      </c>
      <c r="L18" s="33" t="s">
        <v>105</v>
      </c>
      <c r="M18" s="34">
        <v>7.11</v>
      </c>
      <c r="N18" s="32" t="s">
        <v>104</v>
      </c>
      <c r="O18" s="35" t="s">
        <v>105</v>
      </c>
      <c r="P18" s="31">
        <v>6.89</v>
      </c>
      <c r="Q18" s="32" t="s">
        <v>104</v>
      </c>
      <c r="R18" s="33" t="s">
        <v>105</v>
      </c>
      <c r="S18" s="34">
        <v>7.26</v>
      </c>
      <c r="T18" s="32" t="s">
        <v>104</v>
      </c>
      <c r="U18" s="35" t="s">
        <v>105</v>
      </c>
      <c r="V18" s="31">
        <v>6.49</v>
      </c>
      <c r="W18" s="32" t="s">
        <v>104</v>
      </c>
      <c r="X18" s="33" t="s">
        <v>105</v>
      </c>
      <c r="Y18" s="34">
        <v>6.84</v>
      </c>
      <c r="Z18" s="32" t="s">
        <v>104</v>
      </c>
      <c r="AA18" s="35" t="s">
        <v>105</v>
      </c>
      <c r="AB18" s="31">
        <v>6.93</v>
      </c>
      <c r="AC18" s="32" t="s">
        <v>104</v>
      </c>
      <c r="AD18" s="33" t="s">
        <v>105</v>
      </c>
      <c r="AE18" s="34">
        <v>7.3</v>
      </c>
      <c r="AF18" s="32" t="s">
        <v>104</v>
      </c>
      <c r="AG18" s="35" t="s">
        <v>105</v>
      </c>
      <c r="AH18" s="31">
        <v>7.09</v>
      </c>
      <c r="AI18" s="32" t="s">
        <v>104</v>
      </c>
      <c r="AJ18" s="33" t="s">
        <v>105</v>
      </c>
      <c r="AK18" s="34">
        <v>7.47</v>
      </c>
      <c r="AL18" s="32" t="s">
        <v>104</v>
      </c>
      <c r="AM18" s="35" t="s">
        <v>105</v>
      </c>
    </row>
    <row r="19" spans="1:39" ht="19.899999999999999" customHeight="1" x14ac:dyDescent="0.2">
      <c r="A19" s="39" t="s">
        <v>107</v>
      </c>
      <c r="B19" s="22">
        <v>270</v>
      </c>
      <c r="C19" s="23">
        <v>150</v>
      </c>
      <c r="D19" s="24">
        <v>6.2</v>
      </c>
      <c r="E19" s="25" t="s">
        <v>104</v>
      </c>
      <c r="F19" s="26" t="s">
        <v>105</v>
      </c>
      <c r="G19" s="27">
        <v>6.54</v>
      </c>
      <c r="H19" s="25" t="s">
        <v>104</v>
      </c>
      <c r="I19" s="28" t="s">
        <v>105</v>
      </c>
      <c r="J19" s="24">
        <v>6.63</v>
      </c>
      <c r="K19" s="25" t="s">
        <v>104</v>
      </c>
      <c r="L19" s="26" t="s">
        <v>105</v>
      </c>
      <c r="M19" s="27">
        <v>6.99</v>
      </c>
      <c r="N19" s="25" t="s">
        <v>104</v>
      </c>
      <c r="O19" s="28" t="s">
        <v>105</v>
      </c>
      <c r="P19" s="24">
        <v>6.77</v>
      </c>
      <c r="Q19" s="25" t="s">
        <v>104</v>
      </c>
      <c r="R19" s="26" t="s">
        <v>105</v>
      </c>
      <c r="S19" s="27">
        <v>7.14</v>
      </c>
      <c r="T19" s="25" t="s">
        <v>104</v>
      </c>
      <c r="U19" s="28" t="s">
        <v>105</v>
      </c>
      <c r="V19" s="24">
        <v>6.36</v>
      </c>
      <c r="W19" s="25" t="s">
        <v>104</v>
      </c>
      <c r="X19" s="26" t="s">
        <v>105</v>
      </c>
      <c r="Y19" s="27">
        <v>6.71</v>
      </c>
      <c r="Z19" s="25" t="s">
        <v>104</v>
      </c>
      <c r="AA19" s="28" t="s">
        <v>105</v>
      </c>
      <c r="AB19" s="24">
        <v>6.81</v>
      </c>
      <c r="AC19" s="25" t="s">
        <v>104</v>
      </c>
      <c r="AD19" s="26" t="s">
        <v>105</v>
      </c>
      <c r="AE19" s="27">
        <v>7.18</v>
      </c>
      <c r="AF19" s="25" t="s">
        <v>104</v>
      </c>
      <c r="AG19" s="28" t="s">
        <v>105</v>
      </c>
      <c r="AH19" s="24">
        <v>6.97</v>
      </c>
      <c r="AI19" s="25" t="s">
        <v>104</v>
      </c>
      <c r="AJ19" s="26" t="s">
        <v>105</v>
      </c>
      <c r="AK19" s="27">
        <v>7.35</v>
      </c>
      <c r="AL19" s="25" t="s">
        <v>104</v>
      </c>
      <c r="AM19" s="28" t="s">
        <v>105</v>
      </c>
    </row>
    <row r="20" spans="1:39" ht="19.899999999999999" customHeight="1" x14ac:dyDescent="0.2">
      <c r="A20" s="39" t="s">
        <v>107</v>
      </c>
      <c r="B20" s="29">
        <v>70</v>
      </c>
      <c r="C20" s="30">
        <v>250</v>
      </c>
      <c r="D20" s="31">
        <v>6.63</v>
      </c>
      <c r="E20" s="32" t="s">
        <v>104</v>
      </c>
      <c r="F20" s="33" t="s">
        <v>105</v>
      </c>
      <c r="G20" s="34">
        <v>6.99</v>
      </c>
      <c r="H20" s="32" t="s">
        <v>104</v>
      </c>
      <c r="I20" s="35" t="s">
        <v>105</v>
      </c>
      <c r="J20" s="31">
        <v>7.03</v>
      </c>
      <c r="K20" s="32" t="s">
        <v>104</v>
      </c>
      <c r="L20" s="33" t="s">
        <v>105</v>
      </c>
      <c r="M20" s="34">
        <v>7.41</v>
      </c>
      <c r="N20" s="32" t="s">
        <v>104</v>
      </c>
      <c r="O20" s="35" t="s">
        <v>105</v>
      </c>
      <c r="P20" s="31">
        <v>7.16</v>
      </c>
      <c r="Q20" s="32" t="s">
        <v>104</v>
      </c>
      <c r="R20" s="33" t="s">
        <v>105</v>
      </c>
      <c r="S20" s="34">
        <v>7.55</v>
      </c>
      <c r="T20" s="32" t="s">
        <v>104</v>
      </c>
      <c r="U20" s="35" t="s">
        <v>105</v>
      </c>
      <c r="V20" s="31">
        <v>6.81</v>
      </c>
      <c r="W20" s="32" t="s">
        <v>104</v>
      </c>
      <c r="X20" s="33" t="s">
        <v>105</v>
      </c>
      <c r="Y20" s="34">
        <v>7.18</v>
      </c>
      <c r="Z20" s="32" t="s">
        <v>104</v>
      </c>
      <c r="AA20" s="35" t="s">
        <v>105</v>
      </c>
      <c r="AB20" s="31">
        <v>7.22</v>
      </c>
      <c r="AC20" s="32" t="s">
        <v>104</v>
      </c>
      <c r="AD20" s="33" t="s">
        <v>105</v>
      </c>
      <c r="AE20" s="34">
        <v>7.61</v>
      </c>
      <c r="AF20" s="32" t="s">
        <v>104</v>
      </c>
      <c r="AG20" s="35" t="s">
        <v>105</v>
      </c>
      <c r="AH20" s="31">
        <v>7.39</v>
      </c>
      <c r="AI20" s="32" t="s">
        <v>104</v>
      </c>
      <c r="AJ20" s="33" t="s">
        <v>105</v>
      </c>
      <c r="AK20" s="34">
        <v>7.79</v>
      </c>
      <c r="AL20" s="32" t="s">
        <v>104</v>
      </c>
      <c r="AM20" s="35" t="s">
        <v>105</v>
      </c>
    </row>
    <row r="21" spans="1:39" ht="19.899999999999999" customHeight="1" x14ac:dyDescent="0.2">
      <c r="A21" s="39" t="s">
        <v>107</v>
      </c>
      <c r="B21" s="22">
        <v>190</v>
      </c>
      <c r="C21" s="23">
        <v>250</v>
      </c>
      <c r="D21" s="24">
        <v>6.21</v>
      </c>
      <c r="E21" s="25" t="s">
        <v>104</v>
      </c>
      <c r="F21" s="26" t="s">
        <v>105</v>
      </c>
      <c r="G21" s="27">
        <v>6.55</v>
      </c>
      <c r="H21" s="25" t="s">
        <v>104</v>
      </c>
      <c r="I21" s="28" t="s">
        <v>105</v>
      </c>
      <c r="J21" s="24">
        <v>6.59</v>
      </c>
      <c r="K21" s="25" t="s">
        <v>104</v>
      </c>
      <c r="L21" s="26" t="s">
        <v>105</v>
      </c>
      <c r="M21" s="27">
        <v>6.94</v>
      </c>
      <c r="N21" s="25" t="s">
        <v>104</v>
      </c>
      <c r="O21" s="28" t="s">
        <v>105</v>
      </c>
      <c r="P21" s="24">
        <v>6.71</v>
      </c>
      <c r="Q21" s="25" t="s">
        <v>104</v>
      </c>
      <c r="R21" s="26" t="s">
        <v>105</v>
      </c>
      <c r="S21" s="27">
        <v>7.07</v>
      </c>
      <c r="T21" s="25" t="s">
        <v>104</v>
      </c>
      <c r="U21" s="28" t="s">
        <v>105</v>
      </c>
      <c r="V21" s="24">
        <v>6.35</v>
      </c>
      <c r="W21" s="25" t="s">
        <v>104</v>
      </c>
      <c r="X21" s="26" t="s">
        <v>105</v>
      </c>
      <c r="Y21" s="27">
        <v>6.7</v>
      </c>
      <c r="Z21" s="25" t="s">
        <v>104</v>
      </c>
      <c r="AA21" s="28" t="s">
        <v>105</v>
      </c>
      <c r="AB21" s="24">
        <v>6.74</v>
      </c>
      <c r="AC21" s="25" t="s">
        <v>104</v>
      </c>
      <c r="AD21" s="26" t="s">
        <v>105</v>
      </c>
      <c r="AE21" s="27">
        <v>7.11</v>
      </c>
      <c r="AF21" s="25" t="s">
        <v>104</v>
      </c>
      <c r="AG21" s="28" t="s">
        <v>105</v>
      </c>
      <c r="AH21" s="24">
        <v>6.9</v>
      </c>
      <c r="AI21" s="25" t="s">
        <v>104</v>
      </c>
      <c r="AJ21" s="26" t="s">
        <v>105</v>
      </c>
      <c r="AK21" s="27">
        <v>7.27</v>
      </c>
      <c r="AL21" s="25" t="s">
        <v>104</v>
      </c>
      <c r="AM21" s="28" t="s">
        <v>105</v>
      </c>
    </row>
    <row r="22" spans="1:39" ht="19.899999999999999" customHeight="1" x14ac:dyDescent="0.2">
      <c r="A22" s="39" t="s">
        <v>107</v>
      </c>
      <c r="B22" s="29">
        <v>240</v>
      </c>
      <c r="C22" s="30">
        <v>250</v>
      </c>
      <c r="D22" s="31">
        <v>6.06</v>
      </c>
      <c r="E22" s="32" t="s">
        <v>104</v>
      </c>
      <c r="F22" s="33" t="s">
        <v>105</v>
      </c>
      <c r="G22" s="34">
        <v>6.39</v>
      </c>
      <c r="H22" s="32" t="s">
        <v>104</v>
      </c>
      <c r="I22" s="35" t="s">
        <v>105</v>
      </c>
      <c r="J22" s="31">
        <v>6.42</v>
      </c>
      <c r="K22" s="32" t="s">
        <v>104</v>
      </c>
      <c r="L22" s="33" t="s">
        <v>105</v>
      </c>
      <c r="M22" s="34">
        <v>6.77</v>
      </c>
      <c r="N22" s="32" t="s">
        <v>104</v>
      </c>
      <c r="O22" s="35" t="s">
        <v>105</v>
      </c>
      <c r="P22" s="31">
        <v>6.55</v>
      </c>
      <c r="Q22" s="32" t="s">
        <v>104</v>
      </c>
      <c r="R22" s="33" t="s">
        <v>105</v>
      </c>
      <c r="S22" s="34">
        <v>6.9</v>
      </c>
      <c r="T22" s="32" t="s">
        <v>104</v>
      </c>
      <c r="U22" s="35" t="s">
        <v>105</v>
      </c>
      <c r="V22" s="31">
        <v>6.19</v>
      </c>
      <c r="W22" s="32" t="s">
        <v>104</v>
      </c>
      <c r="X22" s="33" t="s">
        <v>105</v>
      </c>
      <c r="Y22" s="34">
        <v>6.52</v>
      </c>
      <c r="Z22" s="32" t="s">
        <v>104</v>
      </c>
      <c r="AA22" s="35" t="s">
        <v>105</v>
      </c>
      <c r="AB22" s="31">
        <v>6.57</v>
      </c>
      <c r="AC22" s="32" t="s">
        <v>104</v>
      </c>
      <c r="AD22" s="33" t="s">
        <v>105</v>
      </c>
      <c r="AE22" s="34">
        <v>6.92</v>
      </c>
      <c r="AF22" s="32" t="s">
        <v>104</v>
      </c>
      <c r="AG22" s="35" t="s">
        <v>105</v>
      </c>
      <c r="AH22" s="31">
        <v>6.72</v>
      </c>
      <c r="AI22" s="32" t="s">
        <v>104</v>
      </c>
      <c r="AJ22" s="33" t="s">
        <v>105</v>
      </c>
      <c r="AK22" s="34">
        <v>7.08</v>
      </c>
      <c r="AL22" s="32" t="s">
        <v>104</v>
      </c>
      <c r="AM22" s="35" t="s">
        <v>105</v>
      </c>
    </row>
    <row r="23" spans="1:39" ht="18.95" customHeight="1" x14ac:dyDescent="0.2">
      <c r="A23" s="40" t="s">
        <v>107</v>
      </c>
      <c r="B23" s="41">
        <v>270</v>
      </c>
      <c r="C23" s="42">
        <v>250</v>
      </c>
      <c r="D23" s="43">
        <v>5.97</v>
      </c>
      <c r="E23" s="44" t="s">
        <v>104</v>
      </c>
      <c r="F23" s="45" t="s">
        <v>105</v>
      </c>
      <c r="G23" s="46">
        <v>6.3</v>
      </c>
      <c r="H23" s="44" t="s">
        <v>104</v>
      </c>
      <c r="I23" s="47" t="s">
        <v>105</v>
      </c>
      <c r="J23" s="43">
        <v>6.33</v>
      </c>
      <c r="K23" s="44" t="s">
        <v>104</v>
      </c>
      <c r="L23" s="45" t="s">
        <v>105</v>
      </c>
      <c r="M23" s="46">
        <v>6.68</v>
      </c>
      <c r="N23" s="44" t="s">
        <v>104</v>
      </c>
      <c r="O23" s="47" t="s">
        <v>105</v>
      </c>
      <c r="P23" s="43">
        <v>6.45</v>
      </c>
      <c r="Q23" s="44" t="s">
        <v>104</v>
      </c>
      <c r="R23" s="45" t="s">
        <v>105</v>
      </c>
      <c r="S23" s="46">
        <v>6.8</v>
      </c>
      <c r="T23" s="44" t="s">
        <v>104</v>
      </c>
      <c r="U23" s="47" t="s">
        <v>105</v>
      </c>
      <c r="V23" s="43">
        <v>6.1</v>
      </c>
      <c r="W23" s="44" t="s">
        <v>104</v>
      </c>
      <c r="X23" s="45" t="s">
        <v>105</v>
      </c>
      <c r="Y23" s="46">
        <v>6.43</v>
      </c>
      <c r="Z23" s="44" t="s">
        <v>104</v>
      </c>
      <c r="AA23" s="47" t="s">
        <v>105</v>
      </c>
      <c r="AB23" s="43">
        <v>6.47</v>
      </c>
      <c r="AC23" s="44" t="s">
        <v>104</v>
      </c>
      <c r="AD23" s="45" t="s">
        <v>105</v>
      </c>
      <c r="AE23" s="46">
        <v>6.82</v>
      </c>
      <c r="AF23" s="44" t="s">
        <v>104</v>
      </c>
      <c r="AG23" s="47" t="s">
        <v>105</v>
      </c>
      <c r="AH23" s="43">
        <v>6.62</v>
      </c>
      <c r="AI23" s="44" t="s">
        <v>104</v>
      </c>
      <c r="AJ23" s="45" t="s">
        <v>105</v>
      </c>
      <c r="AK23" s="46">
        <v>6.97</v>
      </c>
      <c r="AL23" s="44" t="s">
        <v>104</v>
      </c>
      <c r="AM23" s="47" t="s">
        <v>105</v>
      </c>
    </row>
    <row r="24" spans="1:39" ht="3" customHeight="1" x14ac:dyDescent="0.2">
      <c r="A24" s="1" t="e">
        <v>#REF!</v>
      </c>
      <c r="B24" s="36" t="e">
        <v>#REF!</v>
      </c>
      <c r="C24" s="36" t="e">
        <v>#REF!</v>
      </c>
      <c r="D24" s="37" t="e">
        <v>#REF!</v>
      </c>
      <c r="E24" s="36" t="e">
        <v>#REF!</v>
      </c>
      <c r="F24" s="36" t="e">
        <v>#REF!</v>
      </c>
      <c r="G24" s="36" t="e">
        <v>#REF!</v>
      </c>
      <c r="H24" s="36" t="e">
        <v>#REF!</v>
      </c>
      <c r="I24" s="36" t="e">
        <v>#REF!</v>
      </c>
      <c r="J24" s="37" t="e">
        <v>#REF!</v>
      </c>
      <c r="K24" s="36" t="e">
        <v>#REF!</v>
      </c>
      <c r="L24" s="36" t="e">
        <v>#REF!</v>
      </c>
      <c r="M24" s="36" t="e">
        <v>#REF!</v>
      </c>
      <c r="N24" s="36" t="e">
        <v>#REF!</v>
      </c>
      <c r="O24" s="36" t="e">
        <v>#REF!</v>
      </c>
      <c r="P24" s="37" t="e">
        <v>#REF!</v>
      </c>
      <c r="Q24" s="36" t="e">
        <v>#REF!</v>
      </c>
      <c r="R24" s="36" t="e">
        <v>#REF!</v>
      </c>
      <c r="S24" s="36" t="e">
        <v>#REF!</v>
      </c>
      <c r="T24" s="36" t="e">
        <v>#REF!</v>
      </c>
      <c r="U24" s="36" t="e">
        <v>#REF!</v>
      </c>
      <c r="V24" s="37" t="e">
        <v>#REF!</v>
      </c>
      <c r="W24" s="36" t="e">
        <v>#REF!</v>
      </c>
      <c r="X24" s="36" t="e">
        <v>#REF!</v>
      </c>
      <c r="Y24" s="36" t="e">
        <v>#REF!</v>
      </c>
      <c r="Z24" s="36" t="e">
        <v>#REF!</v>
      </c>
      <c r="AA24" s="36" t="e">
        <v>#REF!</v>
      </c>
      <c r="AB24" s="37" t="e">
        <v>#REF!</v>
      </c>
      <c r="AC24" s="36" t="e">
        <v>#REF!</v>
      </c>
      <c r="AD24" s="36" t="e">
        <v>#REF!</v>
      </c>
      <c r="AE24" s="36" t="e">
        <v>#REF!</v>
      </c>
      <c r="AF24" s="36" t="e">
        <v>#REF!</v>
      </c>
      <c r="AG24" s="36" t="e">
        <v>#REF!</v>
      </c>
      <c r="AH24" s="37" t="e">
        <v>#REF!</v>
      </c>
      <c r="AI24" s="36" t="e">
        <v>#REF!</v>
      </c>
      <c r="AJ24" s="36" t="e">
        <v>#REF!</v>
      </c>
      <c r="AK24" s="36" t="e">
        <v>#REF!</v>
      </c>
      <c r="AL24" s="36" t="e">
        <v>#REF!</v>
      </c>
      <c r="AM24" s="36" t="e">
        <v>#REF!</v>
      </c>
    </row>
    <row r="25" spans="1:39" ht="19.899999999999999" customHeight="1" x14ac:dyDescent="0.2">
      <c r="A25" s="38" t="s">
        <v>108</v>
      </c>
      <c r="B25" s="15">
        <v>70</v>
      </c>
      <c r="C25" s="16">
        <v>150</v>
      </c>
      <c r="D25" s="17">
        <v>6.89</v>
      </c>
      <c r="E25" s="18" t="s">
        <v>104</v>
      </c>
      <c r="F25" s="19" t="s">
        <v>105</v>
      </c>
      <c r="G25" s="20">
        <v>7.26</v>
      </c>
      <c r="H25" s="18" t="s">
        <v>104</v>
      </c>
      <c r="I25" s="21" t="s">
        <v>105</v>
      </c>
      <c r="J25" s="17">
        <v>7.34</v>
      </c>
      <c r="K25" s="18" t="s">
        <v>104</v>
      </c>
      <c r="L25" s="19" t="s">
        <v>105</v>
      </c>
      <c r="M25" s="20">
        <v>7.59</v>
      </c>
      <c r="N25" s="18" t="s">
        <v>104</v>
      </c>
      <c r="O25" s="21" t="s">
        <v>106</v>
      </c>
      <c r="P25" s="17">
        <v>7.48</v>
      </c>
      <c r="Q25" s="18" t="s">
        <v>104</v>
      </c>
      <c r="R25" s="19" t="s">
        <v>105</v>
      </c>
      <c r="S25" s="20">
        <v>7.57</v>
      </c>
      <c r="T25" s="18" t="s">
        <v>104</v>
      </c>
      <c r="U25" s="21" t="s">
        <v>106</v>
      </c>
      <c r="V25" s="17">
        <v>7.14</v>
      </c>
      <c r="W25" s="18" t="s">
        <v>104</v>
      </c>
      <c r="X25" s="19" t="s">
        <v>105</v>
      </c>
      <c r="Y25" s="20">
        <v>7.53</v>
      </c>
      <c r="Z25" s="18" t="s">
        <v>104</v>
      </c>
      <c r="AA25" s="21" t="s">
        <v>105</v>
      </c>
      <c r="AB25" s="17">
        <v>7.58</v>
      </c>
      <c r="AC25" s="18" t="s">
        <v>104</v>
      </c>
      <c r="AD25" s="19" t="s">
        <v>105</v>
      </c>
      <c r="AE25" s="20">
        <v>7.67</v>
      </c>
      <c r="AF25" s="18" t="s">
        <v>104</v>
      </c>
      <c r="AG25" s="21" t="s">
        <v>106</v>
      </c>
      <c r="AH25" s="17">
        <v>7.65</v>
      </c>
      <c r="AI25" s="18" t="s">
        <v>104</v>
      </c>
      <c r="AJ25" s="19" t="s">
        <v>106</v>
      </c>
      <c r="AK25" s="20">
        <v>7.65</v>
      </c>
      <c r="AL25" s="18" t="s">
        <v>104</v>
      </c>
      <c r="AM25" s="21" t="s">
        <v>106</v>
      </c>
    </row>
    <row r="26" spans="1:39" ht="19.899999999999999" customHeight="1" x14ac:dyDescent="0.2">
      <c r="A26" s="39" t="s">
        <v>108</v>
      </c>
      <c r="B26" s="22">
        <v>190</v>
      </c>
      <c r="C26" s="23">
        <v>150</v>
      </c>
      <c r="D26" s="24">
        <v>6.4</v>
      </c>
      <c r="E26" s="25" t="s">
        <v>104</v>
      </c>
      <c r="F26" s="26" t="s">
        <v>105</v>
      </c>
      <c r="G26" s="27">
        <v>6.75</v>
      </c>
      <c r="H26" s="25" t="s">
        <v>104</v>
      </c>
      <c r="I26" s="28" t="s">
        <v>105</v>
      </c>
      <c r="J26" s="24">
        <v>6.84</v>
      </c>
      <c r="K26" s="25" t="s">
        <v>104</v>
      </c>
      <c r="L26" s="26" t="s">
        <v>105</v>
      </c>
      <c r="M26" s="27">
        <v>7.21</v>
      </c>
      <c r="N26" s="25" t="s">
        <v>104</v>
      </c>
      <c r="O26" s="28" t="s">
        <v>105</v>
      </c>
      <c r="P26" s="24">
        <v>6.99</v>
      </c>
      <c r="Q26" s="25" t="s">
        <v>104</v>
      </c>
      <c r="R26" s="26" t="s">
        <v>105</v>
      </c>
      <c r="S26" s="27">
        <v>7.37</v>
      </c>
      <c r="T26" s="25" t="s">
        <v>104</v>
      </c>
      <c r="U26" s="28" t="s">
        <v>105</v>
      </c>
      <c r="V26" s="24">
        <v>6.6</v>
      </c>
      <c r="W26" s="25" t="s">
        <v>104</v>
      </c>
      <c r="X26" s="26" t="s">
        <v>105</v>
      </c>
      <c r="Y26" s="27">
        <v>6.95</v>
      </c>
      <c r="Z26" s="25" t="s">
        <v>104</v>
      </c>
      <c r="AA26" s="28" t="s">
        <v>105</v>
      </c>
      <c r="AB26" s="24">
        <v>7.06</v>
      </c>
      <c r="AC26" s="25" t="s">
        <v>104</v>
      </c>
      <c r="AD26" s="26" t="s">
        <v>105</v>
      </c>
      <c r="AE26" s="27">
        <v>7.44</v>
      </c>
      <c r="AF26" s="25" t="s">
        <v>104</v>
      </c>
      <c r="AG26" s="28" t="s">
        <v>105</v>
      </c>
      <c r="AH26" s="24">
        <v>7.23</v>
      </c>
      <c r="AI26" s="25" t="s">
        <v>104</v>
      </c>
      <c r="AJ26" s="26" t="s">
        <v>105</v>
      </c>
      <c r="AK26" s="27">
        <v>7.62</v>
      </c>
      <c r="AL26" s="25" t="s">
        <v>104</v>
      </c>
      <c r="AM26" s="28" t="s">
        <v>105</v>
      </c>
    </row>
    <row r="27" spans="1:39" ht="19.899999999999999" customHeight="1" x14ac:dyDescent="0.2">
      <c r="A27" s="39" t="s">
        <v>108</v>
      </c>
      <c r="B27" s="29">
        <v>240</v>
      </c>
      <c r="C27" s="30">
        <v>150</v>
      </c>
      <c r="D27" s="31">
        <v>6.23</v>
      </c>
      <c r="E27" s="32" t="s">
        <v>104</v>
      </c>
      <c r="F27" s="33" t="s">
        <v>105</v>
      </c>
      <c r="G27" s="34">
        <v>6.57</v>
      </c>
      <c r="H27" s="32" t="s">
        <v>104</v>
      </c>
      <c r="I27" s="35" t="s">
        <v>105</v>
      </c>
      <c r="J27" s="31">
        <v>6.66</v>
      </c>
      <c r="K27" s="32" t="s">
        <v>104</v>
      </c>
      <c r="L27" s="33" t="s">
        <v>105</v>
      </c>
      <c r="M27" s="34">
        <v>7.02</v>
      </c>
      <c r="N27" s="32" t="s">
        <v>104</v>
      </c>
      <c r="O27" s="35" t="s">
        <v>105</v>
      </c>
      <c r="P27" s="31">
        <v>6.8</v>
      </c>
      <c r="Q27" s="32" t="s">
        <v>104</v>
      </c>
      <c r="R27" s="33" t="s">
        <v>105</v>
      </c>
      <c r="S27" s="34">
        <v>7.17</v>
      </c>
      <c r="T27" s="32" t="s">
        <v>104</v>
      </c>
      <c r="U27" s="35" t="s">
        <v>105</v>
      </c>
      <c r="V27" s="31">
        <v>6.4</v>
      </c>
      <c r="W27" s="32" t="s">
        <v>104</v>
      </c>
      <c r="X27" s="33" t="s">
        <v>105</v>
      </c>
      <c r="Y27" s="34">
        <v>6.75</v>
      </c>
      <c r="Z27" s="32" t="s">
        <v>104</v>
      </c>
      <c r="AA27" s="35" t="s">
        <v>105</v>
      </c>
      <c r="AB27" s="31">
        <v>6.85</v>
      </c>
      <c r="AC27" s="32" t="s">
        <v>104</v>
      </c>
      <c r="AD27" s="33" t="s">
        <v>105</v>
      </c>
      <c r="AE27" s="34">
        <v>7.22</v>
      </c>
      <c r="AF27" s="32" t="s">
        <v>104</v>
      </c>
      <c r="AG27" s="35" t="s">
        <v>105</v>
      </c>
      <c r="AH27" s="31">
        <v>7.03</v>
      </c>
      <c r="AI27" s="32" t="s">
        <v>104</v>
      </c>
      <c r="AJ27" s="33" t="s">
        <v>105</v>
      </c>
      <c r="AK27" s="34">
        <v>7.41</v>
      </c>
      <c r="AL27" s="32" t="s">
        <v>104</v>
      </c>
      <c r="AM27" s="35" t="s">
        <v>105</v>
      </c>
    </row>
    <row r="28" spans="1:39" ht="19.899999999999999" customHeight="1" x14ac:dyDescent="0.2">
      <c r="A28" s="39" t="s">
        <v>108</v>
      </c>
      <c r="B28" s="22">
        <v>270</v>
      </c>
      <c r="C28" s="23">
        <v>150</v>
      </c>
      <c r="D28" s="24">
        <v>6.13</v>
      </c>
      <c r="E28" s="25" t="s">
        <v>104</v>
      </c>
      <c r="F28" s="26" t="s">
        <v>105</v>
      </c>
      <c r="G28" s="27">
        <v>6.46</v>
      </c>
      <c r="H28" s="25" t="s">
        <v>104</v>
      </c>
      <c r="I28" s="28" t="s">
        <v>105</v>
      </c>
      <c r="J28" s="24">
        <v>6.55</v>
      </c>
      <c r="K28" s="25" t="s">
        <v>104</v>
      </c>
      <c r="L28" s="26" t="s">
        <v>105</v>
      </c>
      <c r="M28" s="27">
        <v>6.91</v>
      </c>
      <c r="N28" s="25" t="s">
        <v>104</v>
      </c>
      <c r="O28" s="28" t="s">
        <v>105</v>
      </c>
      <c r="P28" s="24">
        <v>6.69</v>
      </c>
      <c r="Q28" s="25" t="s">
        <v>104</v>
      </c>
      <c r="R28" s="26" t="s">
        <v>105</v>
      </c>
      <c r="S28" s="27">
        <v>7.05</v>
      </c>
      <c r="T28" s="25" t="s">
        <v>104</v>
      </c>
      <c r="U28" s="28" t="s">
        <v>105</v>
      </c>
      <c r="V28" s="24">
        <v>6.29</v>
      </c>
      <c r="W28" s="25" t="s">
        <v>104</v>
      </c>
      <c r="X28" s="26" t="s">
        <v>105</v>
      </c>
      <c r="Y28" s="27">
        <v>6.63</v>
      </c>
      <c r="Z28" s="25" t="s">
        <v>104</v>
      </c>
      <c r="AA28" s="28" t="s">
        <v>105</v>
      </c>
      <c r="AB28" s="24">
        <v>6.73</v>
      </c>
      <c r="AC28" s="25" t="s">
        <v>104</v>
      </c>
      <c r="AD28" s="26" t="s">
        <v>105</v>
      </c>
      <c r="AE28" s="27">
        <v>7.1</v>
      </c>
      <c r="AF28" s="25" t="s">
        <v>104</v>
      </c>
      <c r="AG28" s="28" t="s">
        <v>105</v>
      </c>
      <c r="AH28" s="24">
        <v>6.91</v>
      </c>
      <c r="AI28" s="25" t="s">
        <v>104</v>
      </c>
      <c r="AJ28" s="26" t="s">
        <v>105</v>
      </c>
      <c r="AK28" s="27">
        <v>7.28</v>
      </c>
      <c r="AL28" s="25" t="s">
        <v>104</v>
      </c>
      <c r="AM28" s="28" t="s">
        <v>105</v>
      </c>
    </row>
    <row r="29" spans="1:39" ht="19.899999999999999" customHeight="1" x14ac:dyDescent="0.2">
      <c r="A29" s="39" t="s">
        <v>108</v>
      </c>
      <c r="B29" s="29">
        <v>70</v>
      </c>
      <c r="C29" s="30">
        <v>250</v>
      </c>
      <c r="D29" s="31">
        <v>6.55</v>
      </c>
      <c r="E29" s="32" t="s">
        <v>104</v>
      </c>
      <c r="F29" s="33" t="s">
        <v>105</v>
      </c>
      <c r="G29" s="34">
        <v>6.91</v>
      </c>
      <c r="H29" s="32" t="s">
        <v>104</v>
      </c>
      <c r="I29" s="35" t="s">
        <v>105</v>
      </c>
      <c r="J29" s="31">
        <v>6.95</v>
      </c>
      <c r="K29" s="32" t="s">
        <v>104</v>
      </c>
      <c r="L29" s="33" t="s">
        <v>105</v>
      </c>
      <c r="M29" s="34">
        <v>7.32</v>
      </c>
      <c r="N29" s="32" t="s">
        <v>104</v>
      </c>
      <c r="O29" s="35" t="s">
        <v>105</v>
      </c>
      <c r="P29" s="31">
        <v>7.08</v>
      </c>
      <c r="Q29" s="32" t="s">
        <v>104</v>
      </c>
      <c r="R29" s="33" t="s">
        <v>105</v>
      </c>
      <c r="S29" s="34">
        <v>7.46</v>
      </c>
      <c r="T29" s="32" t="s">
        <v>104</v>
      </c>
      <c r="U29" s="35" t="s">
        <v>105</v>
      </c>
      <c r="V29" s="31">
        <v>6.73</v>
      </c>
      <c r="W29" s="32" t="s">
        <v>104</v>
      </c>
      <c r="X29" s="33" t="s">
        <v>105</v>
      </c>
      <c r="Y29" s="34">
        <v>7.1</v>
      </c>
      <c r="Z29" s="32" t="s">
        <v>104</v>
      </c>
      <c r="AA29" s="35" t="s">
        <v>105</v>
      </c>
      <c r="AB29" s="31">
        <v>7.15</v>
      </c>
      <c r="AC29" s="32" t="s">
        <v>104</v>
      </c>
      <c r="AD29" s="33" t="s">
        <v>105</v>
      </c>
      <c r="AE29" s="34">
        <v>7.53</v>
      </c>
      <c r="AF29" s="32" t="s">
        <v>104</v>
      </c>
      <c r="AG29" s="35" t="s">
        <v>105</v>
      </c>
      <c r="AH29" s="31">
        <v>7.31</v>
      </c>
      <c r="AI29" s="32" t="s">
        <v>104</v>
      </c>
      <c r="AJ29" s="33" t="s">
        <v>105</v>
      </c>
      <c r="AK29" s="34">
        <v>7.65</v>
      </c>
      <c r="AL29" s="32" t="s">
        <v>104</v>
      </c>
      <c r="AM29" s="35" t="s">
        <v>106</v>
      </c>
    </row>
    <row r="30" spans="1:39" ht="19.899999999999999" customHeight="1" x14ac:dyDescent="0.2">
      <c r="A30" s="39" t="s">
        <v>108</v>
      </c>
      <c r="B30" s="22">
        <v>190</v>
      </c>
      <c r="C30" s="23">
        <v>250</v>
      </c>
      <c r="D30" s="24">
        <v>6.18</v>
      </c>
      <c r="E30" s="25" t="s">
        <v>104</v>
      </c>
      <c r="F30" s="26" t="s">
        <v>105</v>
      </c>
      <c r="G30" s="27">
        <v>6.51</v>
      </c>
      <c r="H30" s="25" t="s">
        <v>104</v>
      </c>
      <c r="I30" s="28" t="s">
        <v>105</v>
      </c>
      <c r="J30" s="24">
        <v>6.55</v>
      </c>
      <c r="K30" s="25" t="s">
        <v>104</v>
      </c>
      <c r="L30" s="26" t="s">
        <v>105</v>
      </c>
      <c r="M30" s="27">
        <v>6.91</v>
      </c>
      <c r="N30" s="25" t="s">
        <v>104</v>
      </c>
      <c r="O30" s="28" t="s">
        <v>105</v>
      </c>
      <c r="P30" s="24">
        <v>6.67</v>
      </c>
      <c r="Q30" s="25" t="s">
        <v>104</v>
      </c>
      <c r="R30" s="26" t="s">
        <v>105</v>
      </c>
      <c r="S30" s="27">
        <v>7.04</v>
      </c>
      <c r="T30" s="25" t="s">
        <v>104</v>
      </c>
      <c r="U30" s="28" t="s">
        <v>105</v>
      </c>
      <c r="V30" s="24">
        <v>6.33</v>
      </c>
      <c r="W30" s="25" t="s">
        <v>104</v>
      </c>
      <c r="X30" s="26" t="s">
        <v>105</v>
      </c>
      <c r="Y30" s="27">
        <v>6.67</v>
      </c>
      <c r="Z30" s="25" t="s">
        <v>104</v>
      </c>
      <c r="AA30" s="28" t="s">
        <v>105</v>
      </c>
      <c r="AB30" s="24">
        <v>6.71</v>
      </c>
      <c r="AC30" s="25" t="s">
        <v>104</v>
      </c>
      <c r="AD30" s="26" t="s">
        <v>105</v>
      </c>
      <c r="AE30" s="27">
        <v>7.08</v>
      </c>
      <c r="AF30" s="25" t="s">
        <v>104</v>
      </c>
      <c r="AG30" s="28" t="s">
        <v>105</v>
      </c>
      <c r="AH30" s="24">
        <v>6.87</v>
      </c>
      <c r="AI30" s="25" t="s">
        <v>104</v>
      </c>
      <c r="AJ30" s="26" t="s">
        <v>105</v>
      </c>
      <c r="AK30" s="27">
        <v>7.24</v>
      </c>
      <c r="AL30" s="25" t="s">
        <v>104</v>
      </c>
      <c r="AM30" s="28" t="s">
        <v>105</v>
      </c>
    </row>
    <row r="31" spans="1:39" ht="19.899999999999999" customHeight="1" x14ac:dyDescent="0.2">
      <c r="A31" s="39" t="s">
        <v>108</v>
      </c>
      <c r="B31" s="29">
        <v>240</v>
      </c>
      <c r="C31" s="30">
        <v>250</v>
      </c>
      <c r="D31" s="31">
        <v>6.04</v>
      </c>
      <c r="E31" s="32" t="s">
        <v>104</v>
      </c>
      <c r="F31" s="33" t="s">
        <v>105</v>
      </c>
      <c r="G31" s="34">
        <v>6.37</v>
      </c>
      <c r="H31" s="32" t="s">
        <v>104</v>
      </c>
      <c r="I31" s="35" t="s">
        <v>105</v>
      </c>
      <c r="J31" s="31">
        <v>6.4</v>
      </c>
      <c r="K31" s="32" t="s">
        <v>104</v>
      </c>
      <c r="L31" s="33" t="s">
        <v>105</v>
      </c>
      <c r="M31" s="34">
        <v>6.75</v>
      </c>
      <c r="N31" s="32" t="s">
        <v>104</v>
      </c>
      <c r="O31" s="35" t="s">
        <v>105</v>
      </c>
      <c r="P31" s="31">
        <v>6.53</v>
      </c>
      <c r="Q31" s="32" t="s">
        <v>104</v>
      </c>
      <c r="R31" s="33" t="s">
        <v>105</v>
      </c>
      <c r="S31" s="34">
        <v>6.88</v>
      </c>
      <c r="T31" s="32" t="s">
        <v>104</v>
      </c>
      <c r="U31" s="35" t="s">
        <v>105</v>
      </c>
      <c r="V31" s="31">
        <v>6.18</v>
      </c>
      <c r="W31" s="32" t="s">
        <v>104</v>
      </c>
      <c r="X31" s="33" t="s">
        <v>105</v>
      </c>
      <c r="Y31" s="34">
        <v>6.51</v>
      </c>
      <c r="Z31" s="32" t="s">
        <v>104</v>
      </c>
      <c r="AA31" s="35" t="s">
        <v>105</v>
      </c>
      <c r="AB31" s="31">
        <v>6.55</v>
      </c>
      <c r="AC31" s="32" t="s">
        <v>104</v>
      </c>
      <c r="AD31" s="33" t="s">
        <v>105</v>
      </c>
      <c r="AE31" s="34">
        <v>6.91</v>
      </c>
      <c r="AF31" s="32" t="s">
        <v>104</v>
      </c>
      <c r="AG31" s="35" t="s">
        <v>105</v>
      </c>
      <c r="AH31" s="31">
        <v>6.7</v>
      </c>
      <c r="AI31" s="32" t="s">
        <v>104</v>
      </c>
      <c r="AJ31" s="33" t="s">
        <v>105</v>
      </c>
      <c r="AK31" s="34">
        <v>7.07</v>
      </c>
      <c r="AL31" s="32" t="s">
        <v>104</v>
      </c>
      <c r="AM31" s="35" t="s">
        <v>105</v>
      </c>
    </row>
    <row r="32" spans="1:39" ht="19.899999999999999" customHeight="1" x14ac:dyDescent="0.2">
      <c r="A32" s="40" t="s">
        <v>108</v>
      </c>
      <c r="B32" s="41">
        <v>270</v>
      </c>
      <c r="C32" s="42">
        <v>250</v>
      </c>
      <c r="D32" s="43">
        <v>5.96</v>
      </c>
      <c r="E32" s="44" t="s">
        <v>104</v>
      </c>
      <c r="F32" s="45" t="s">
        <v>105</v>
      </c>
      <c r="G32" s="46">
        <v>6.29</v>
      </c>
      <c r="H32" s="44" t="s">
        <v>104</v>
      </c>
      <c r="I32" s="47" t="s">
        <v>105</v>
      </c>
      <c r="J32" s="43">
        <v>6.32</v>
      </c>
      <c r="K32" s="44" t="s">
        <v>104</v>
      </c>
      <c r="L32" s="45" t="s">
        <v>105</v>
      </c>
      <c r="M32" s="46">
        <v>6.66</v>
      </c>
      <c r="N32" s="44" t="s">
        <v>104</v>
      </c>
      <c r="O32" s="47" t="s">
        <v>105</v>
      </c>
      <c r="P32" s="43">
        <v>6.44</v>
      </c>
      <c r="Q32" s="44" t="s">
        <v>104</v>
      </c>
      <c r="R32" s="45" t="s">
        <v>105</v>
      </c>
      <c r="S32" s="46">
        <v>6.79</v>
      </c>
      <c r="T32" s="44" t="s">
        <v>104</v>
      </c>
      <c r="U32" s="47" t="s">
        <v>105</v>
      </c>
      <c r="V32" s="43">
        <v>6.09</v>
      </c>
      <c r="W32" s="44" t="s">
        <v>104</v>
      </c>
      <c r="X32" s="45" t="s">
        <v>105</v>
      </c>
      <c r="Y32" s="46">
        <v>6.42</v>
      </c>
      <c r="Z32" s="44" t="s">
        <v>104</v>
      </c>
      <c r="AA32" s="47" t="s">
        <v>105</v>
      </c>
      <c r="AB32" s="43">
        <v>6.46</v>
      </c>
      <c r="AC32" s="44" t="s">
        <v>104</v>
      </c>
      <c r="AD32" s="45" t="s">
        <v>105</v>
      </c>
      <c r="AE32" s="46">
        <v>6.81</v>
      </c>
      <c r="AF32" s="44" t="s">
        <v>104</v>
      </c>
      <c r="AG32" s="47" t="s">
        <v>105</v>
      </c>
      <c r="AH32" s="43">
        <v>6.61</v>
      </c>
      <c r="AI32" s="44" t="s">
        <v>104</v>
      </c>
      <c r="AJ32" s="45" t="s">
        <v>105</v>
      </c>
      <c r="AK32" s="46">
        <v>6.97</v>
      </c>
      <c r="AL32" s="44" t="s">
        <v>104</v>
      </c>
      <c r="AM32" s="47" t="s">
        <v>105</v>
      </c>
    </row>
    <row r="33" spans="1:39" ht="3" customHeight="1" x14ac:dyDescent="0.2">
      <c r="A33" s="1" t="e">
        <v>#REF!</v>
      </c>
      <c r="B33" s="36" t="e">
        <v>#REF!</v>
      </c>
      <c r="C33" s="36" t="e">
        <v>#REF!</v>
      </c>
      <c r="D33" s="37" t="e">
        <v>#REF!</v>
      </c>
      <c r="E33" s="36" t="e">
        <v>#REF!</v>
      </c>
      <c r="F33" s="36" t="e">
        <v>#REF!</v>
      </c>
      <c r="G33" s="36" t="e">
        <v>#REF!</v>
      </c>
      <c r="H33" s="36" t="e">
        <v>#REF!</v>
      </c>
      <c r="I33" s="36" t="e">
        <v>#REF!</v>
      </c>
      <c r="J33" s="37" t="e">
        <v>#REF!</v>
      </c>
      <c r="K33" s="36" t="e">
        <v>#REF!</v>
      </c>
      <c r="L33" s="36" t="e">
        <v>#REF!</v>
      </c>
      <c r="M33" s="36" t="e">
        <v>#REF!</v>
      </c>
      <c r="N33" s="36" t="e">
        <v>#REF!</v>
      </c>
      <c r="O33" s="36" t="e">
        <v>#REF!</v>
      </c>
      <c r="P33" s="37" t="e">
        <v>#REF!</v>
      </c>
      <c r="Q33" s="36" t="e">
        <v>#REF!</v>
      </c>
      <c r="R33" s="36" t="e">
        <v>#REF!</v>
      </c>
      <c r="S33" s="36" t="e">
        <v>#REF!</v>
      </c>
      <c r="T33" s="36" t="e">
        <v>#REF!</v>
      </c>
      <c r="U33" s="36" t="e">
        <v>#REF!</v>
      </c>
      <c r="V33" s="37" t="e">
        <v>#REF!</v>
      </c>
      <c r="W33" s="36" t="e">
        <v>#REF!</v>
      </c>
      <c r="X33" s="36" t="e">
        <v>#REF!</v>
      </c>
      <c r="Y33" s="36" t="e">
        <v>#REF!</v>
      </c>
      <c r="Z33" s="36" t="e">
        <v>#REF!</v>
      </c>
      <c r="AA33" s="36" t="e">
        <v>#REF!</v>
      </c>
      <c r="AB33" s="37" t="e">
        <v>#REF!</v>
      </c>
      <c r="AC33" s="36" t="e">
        <v>#REF!</v>
      </c>
      <c r="AD33" s="36" t="e">
        <v>#REF!</v>
      </c>
      <c r="AE33" s="36" t="e">
        <v>#REF!</v>
      </c>
      <c r="AF33" s="36" t="e">
        <v>#REF!</v>
      </c>
      <c r="AG33" s="36" t="e">
        <v>#REF!</v>
      </c>
      <c r="AH33" s="37" t="e">
        <v>#REF!</v>
      </c>
      <c r="AI33" s="36" t="e">
        <v>#REF!</v>
      </c>
      <c r="AJ33" s="36" t="e">
        <v>#REF!</v>
      </c>
      <c r="AK33" s="36" t="e">
        <v>#REF!</v>
      </c>
      <c r="AL33" s="36" t="e">
        <v>#REF!</v>
      </c>
      <c r="AM33" s="36" t="e">
        <v>#REF!</v>
      </c>
    </row>
    <row r="34" spans="1:39" ht="19.899999999999999" customHeight="1" x14ac:dyDescent="0.2">
      <c r="A34" s="38" t="s">
        <v>109</v>
      </c>
      <c r="B34" s="15">
        <v>70</v>
      </c>
      <c r="C34" s="16">
        <v>150</v>
      </c>
      <c r="D34" s="17">
        <v>6.71</v>
      </c>
      <c r="E34" s="18" t="s">
        <v>104</v>
      </c>
      <c r="F34" s="19" t="s">
        <v>105</v>
      </c>
      <c r="G34" s="20">
        <v>7.08</v>
      </c>
      <c r="H34" s="18" t="s">
        <v>104</v>
      </c>
      <c r="I34" s="21" t="s">
        <v>105</v>
      </c>
      <c r="J34" s="17">
        <v>7.17</v>
      </c>
      <c r="K34" s="18" t="s">
        <v>104</v>
      </c>
      <c r="L34" s="19" t="s">
        <v>105</v>
      </c>
      <c r="M34" s="20">
        <v>7.4</v>
      </c>
      <c r="N34" s="18" t="s">
        <v>104</v>
      </c>
      <c r="O34" s="21" t="s">
        <v>106</v>
      </c>
      <c r="P34" s="17">
        <v>7.33</v>
      </c>
      <c r="Q34" s="18" t="s">
        <v>104</v>
      </c>
      <c r="R34" s="19" t="s">
        <v>105</v>
      </c>
      <c r="S34" s="20">
        <v>7.37</v>
      </c>
      <c r="T34" s="18" t="s">
        <v>104</v>
      </c>
      <c r="U34" s="21" t="s">
        <v>106</v>
      </c>
      <c r="V34" s="17">
        <v>6.97</v>
      </c>
      <c r="W34" s="18" t="s">
        <v>104</v>
      </c>
      <c r="X34" s="19" t="s">
        <v>105</v>
      </c>
      <c r="Y34" s="20">
        <v>7.35</v>
      </c>
      <c r="Z34" s="18" t="s">
        <v>104</v>
      </c>
      <c r="AA34" s="21" t="s">
        <v>105</v>
      </c>
      <c r="AB34" s="17">
        <v>7.46</v>
      </c>
      <c r="AC34" s="18" t="s">
        <v>104</v>
      </c>
      <c r="AD34" s="19" t="s">
        <v>105</v>
      </c>
      <c r="AE34" s="20">
        <v>7.47</v>
      </c>
      <c r="AF34" s="18" t="s">
        <v>104</v>
      </c>
      <c r="AG34" s="21" t="s">
        <v>106</v>
      </c>
      <c r="AH34" s="17">
        <v>7.45</v>
      </c>
      <c r="AI34" s="18" t="s">
        <v>104</v>
      </c>
      <c r="AJ34" s="19" t="s">
        <v>106</v>
      </c>
      <c r="AK34" s="20">
        <v>7.45</v>
      </c>
      <c r="AL34" s="18" t="s">
        <v>104</v>
      </c>
      <c r="AM34" s="21" t="s">
        <v>106</v>
      </c>
    </row>
    <row r="35" spans="1:39" ht="19.899999999999999" customHeight="1" x14ac:dyDescent="0.2">
      <c r="A35" s="39" t="s">
        <v>109</v>
      </c>
      <c r="B35" s="22">
        <v>190</v>
      </c>
      <c r="C35" s="23">
        <v>150</v>
      </c>
      <c r="D35" s="24">
        <v>6.29</v>
      </c>
      <c r="E35" s="25" t="s">
        <v>104</v>
      </c>
      <c r="F35" s="26" t="s">
        <v>105</v>
      </c>
      <c r="G35" s="27">
        <v>6.63</v>
      </c>
      <c r="H35" s="25" t="s">
        <v>104</v>
      </c>
      <c r="I35" s="28" t="s">
        <v>105</v>
      </c>
      <c r="J35" s="24">
        <v>6.72</v>
      </c>
      <c r="K35" s="25" t="s">
        <v>104</v>
      </c>
      <c r="L35" s="26" t="s">
        <v>105</v>
      </c>
      <c r="M35" s="27">
        <v>7.09</v>
      </c>
      <c r="N35" s="25" t="s">
        <v>104</v>
      </c>
      <c r="O35" s="28" t="s">
        <v>105</v>
      </c>
      <c r="P35" s="24">
        <v>6.87</v>
      </c>
      <c r="Q35" s="25" t="s">
        <v>104</v>
      </c>
      <c r="R35" s="26" t="s">
        <v>105</v>
      </c>
      <c r="S35" s="27">
        <v>7.24</v>
      </c>
      <c r="T35" s="25" t="s">
        <v>104</v>
      </c>
      <c r="U35" s="28" t="s">
        <v>105</v>
      </c>
      <c r="V35" s="24">
        <v>6.49</v>
      </c>
      <c r="W35" s="25" t="s">
        <v>104</v>
      </c>
      <c r="X35" s="26" t="s">
        <v>105</v>
      </c>
      <c r="Y35" s="27">
        <v>6.84</v>
      </c>
      <c r="Z35" s="25" t="s">
        <v>104</v>
      </c>
      <c r="AA35" s="28" t="s">
        <v>105</v>
      </c>
      <c r="AB35" s="24">
        <v>6.95</v>
      </c>
      <c r="AC35" s="25" t="s">
        <v>104</v>
      </c>
      <c r="AD35" s="26" t="s">
        <v>105</v>
      </c>
      <c r="AE35" s="27">
        <v>7.32</v>
      </c>
      <c r="AF35" s="25" t="s">
        <v>104</v>
      </c>
      <c r="AG35" s="28" t="s">
        <v>105</v>
      </c>
      <c r="AH35" s="24">
        <v>7.13</v>
      </c>
      <c r="AI35" s="25" t="s">
        <v>104</v>
      </c>
      <c r="AJ35" s="26" t="s">
        <v>105</v>
      </c>
      <c r="AK35" s="27">
        <v>7.45</v>
      </c>
      <c r="AL35" s="25" t="s">
        <v>104</v>
      </c>
      <c r="AM35" s="28" t="s">
        <v>106</v>
      </c>
    </row>
    <row r="36" spans="1:39" ht="19.899999999999999" customHeight="1" x14ac:dyDescent="0.2">
      <c r="A36" s="39" t="s">
        <v>109</v>
      </c>
      <c r="B36" s="29">
        <v>240</v>
      </c>
      <c r="C36" s="30">
        <v>150</v>
      </c>
      <c r="D36" s="31">
        <v>6.14</v>
      </c>
      <c r="E36" s="32" t="s">
        <v>104</v>
      </c>
      <c r="F36" s="33" t="s">
        <v>105</v>
      </c>
      <c r="G36" s="34">
        <v>6.47</v>
      </c>
      <c r="H36" s="32" t="s">
        <v>104</v>
      </c>
      <c r="I36" s="35" t="s">
        <v>105</v>
      </c>
      <c r="J36" s="31">
        <v>6.56</v>
      </c>
      <c r="K36" s="32" t="s">
        <v>104</v>
      </c>
      <c r="L36" s="33" t="s">
        <v>105</v>
      </c>
      <c r="M36" s="34">
        <v>6.91</v>
      </c>
      <c r="N36" s="32" t="s">
        <v>104</v>
      </c>
      <c r="O36" s="35" t="s">
        <v>105</v>
      </c>
      <c r="P36" s="31">
        <v>6.7</v>
      </c>
      <c r="Q36" s="32" t="s">
        <v>104</v>
      </c>
      <c r="R36" s="33" t="s">
        <v>105</v>
      </c>
      <c r="S36" s="34">
        <v>7.06</v>
      </c>
      <c r="T36" s="32" t="s">
        <v>104</v>
      </c>
      <c r="U36" s="35" t="s">
        <v>105</v>
      </c>
      <c r="V36" s="31">
        <v>6.32</v>
      </c>
      <c r="W36" s="32" t="s">
        <v>104</v>
      </c>
      <c r="X36" s="33" t="s">
        <v>105</v>
      </c>
      <c r="Y36" s="34">
        <v>6.66</v>
      </c>
      <c r="Z36" s="32" t="s">
        <v>104</v>
      </c>
      <c r="AA36" s="35" t="s">
        <v>105</v>
      </c>
      <c r="AB36" s="31">
        <v>6.76</v>
      </c>
      <c r="AC36" s="32" t="s">
        <v>104</v>
      </c>
      <c r="AD36" s="33" t="s">
        <v>105</v>
      </c>
      <c r="AE36" s="34">
        <v>7.13</v>
      </c>
      <c r="AF36" s="32" t="s">
        <v>104</v>
      </c>
      <c r="AG36" s="35" t="s">
        <v>105</v>
      </c>
      <c r="AH36" s="31">
        <v>6.94</v>
      </c>
      <c r="AI36" s="32" t="s">
        <v>104</v>
      </c>
      <c r="AJ36" s="33" t="s">
        <v>105</v>
      </c>
      <c r="AK36" s="34">
        <v>7.32</v>
      </c>
      <c r="AL36" s="32" t="s">
        <v>104</v>
      </c>
      <c r="AM36" s="35" t="s">
        <v>105</v>
      </c>
    </row>
    <row r="37" spans="1:39" ht="19.899999999999999" customHeight="1" x14ac:dyDescent="0.2">
      <c r="A37" s="39" t="s">
        <v>109</v>
      </c>
      <c r="B37" s="22">
        <v>270</v>
      </c>
      <c r="C37" s="23">
        <v>150</v>
      </c>
      <c r="D37" s="24">
        <v>6.05</v>
      </c>
      <c r="E37" s="25" t="s">
        <v>104</v>
      </c>
      <c r="F37" s="26" t="s">
        <v>105</v>
      </c>
      <c r="G37" s="27">
        <v>6.38</v>
      </c>
      <c r="H37" s="25" t="s">
        <v>104</v>
      </c>
      <c r="I37" s="28" t="s">
        <v>105</v>
      </c>
      <c r="J37" s="24">
        <v>6.47</v>
      </c>
      <c r="K37" s="25" t="s">
        <v>104</v>
      </c>
      <c r="L37" s="26" t="s">
        <v>105</v>
      </c>
      <c r="M37" s="27">
        <v>6.82</v>
      </c>
      <c r="N37" s="25" t="s">
        <v>104</v>
      </c>
      <c r="O37" s="28" t="s">
        <v>105</v>
      </c>
      <c r="P37" s="24">
        <v>6.6</v>
      </c>
      <c r="Q37" s="25" t="s">
        <v>104</v>
      </c>
      <c r="R37" s="26" t="s">
        <v>105</v>
      </c>
      <c r="S37" s="27">
        <v>6.96</v>
      </c>
      <c r="T37" s="25" t="s">
        <v>104</v>
      </c>
      <c r="U37" s="28" t="s">
        <v>105</v>
      </c>
      <c r="V37" s="24">
        <v>6.22</v>
      </c>
      <c r="W37" s="25" t="s">
        <v>104</v>
      </c>
      <c r="X37" s="26" t="s">
        <v>105</v>
      </c>
      <c r="Y37" s="27">
        <v>6.56</v>
      </c>
      <c r="Z37" s="25" t="s">
        <v>104</v>
      </c>
      <c r="AA37" s="28" t="s">
        <v>105</v>
      </c>
      <c r="AB37" s="24">
        <v>6.66</v>
      </c>
      <c r="AC37" s="25" t="s">
        <v>104</v>
      </c>
      <c r="AD37" s="26" t="s">
        <v>105</v>
      </c>
      <c r="AE37" s="27">
        <v>7.02</v>
      </c>
      <c r="AF37" s="25" t="s">
        <v>104</v>
      </c>
      <c r="AG37" s="28" t="s">
        <v>105</v>
      </c>
      <c r="AH37" s="24">
        <v>6.83</v>
      </c>
      <c r="AI37" s="25" t="s">
        <v>104</v>
      </c>
      <c r="AJ37" s="26" t="s">
        <v>105</v>
      </c>
      <c r="AK37" s="27">
        <v>7.2</v>
      </c>
      <c r="AL37" s="25" t="s">
        <v>104</v>
      </c>
      <c r="AM37" s="28" t="s">
        <v>105</v>
      </c>
    </row>
    <row r="38" spans="1:39" ht="19.899999999999999" customHeight="1" x14ac:dyDescent="0.2">
      <c r="A38" s="39" t="s">
        <v>109</v>
      </c>
      <c r="B38" s="29">
        <v>70</v>
      </c>
      <c r="C38" s="30">
        <v>250</v>
      </c>
      <c r="D38" s="31">
        <v>6.47</v>
      </c>
      <c r="E38" s="32" t="s">
        <v>104</v>
      </c>
      <c r="F38" s="33" t="s">
        <v>105</v>
      </c>
      <c r="G38" s="34">
        <v>6.82</v>
      </c>
      <c r="H38" s="32" t="s">
        <v>104</v>
      </c>
      <c r="I38" s="35" t="s">
        <v>105</v>
      </c>
      <c r="J38" s="31">
        <v>6.86</v>
      </c>
      <c r="K38" s="32" t="s">
        <v>104</v>
      </c>
      <c r="L38" s="33" t="s">
        <v>105</v>
      </c>
      <c r="M38" s="34">
        <v>7.23</v>
      </c>
      <c r="N38" s="32" t="s">
        <v>104</v>
      </c>
      <c r="O38" s="35" t="s">
        <v>105</v>
      </c>
      <c r="P38" s="31">
        <v>6.99</v>
      </c>
      <c r="Q38" s="32" t="s">
        <v>104</v>
      </c>
      <c r="R38" s="33" t="s">
        <v>105</v>
      </c>
      <c r="S38" s="34">
        <v>7.37</v>
      </c>
      <c r="T38" s="32" t="s">
        <v>104</v>
      </c>
      <c r="U38" s="35" t="s">
        <v>105</v>
      </c>
      <c r="V38" s="31">
        <v>6.66</v>
      </c>
      <c r="W38" s="32" t="s">
        <v>104</v>
      </c>
      <c r="X38" s="33" t="s">
        <v>105</v>
      </c>
      <c r="Y38" s="34">
        <v>7.02</v>
      </c>
      <c r="Z38" s="32" t="s">
        <v>104</v>
      </c>
      <c r="AA38" s="35" t="s">
        <v>105</v>
      </c>
      <c r="AB38" s="31">
        <v>7.07</v>
      </c>
      <c r="AC38" s="32" t="s">
        <v>104</v>
      </c>
      <c r="AD38" s="33" t="s">
        <v>105</v>
      </c>
      <c r="AE38" s="34">
        <v>7.45</v>
      </c>
      <c r="AF38" s="32" t="s">
        <v>104</v>
      </c>
      <c r="AG38" s="35" t="s">
        <v>105</v>
      </c>
      <c r="AH38" s="31">
        <v>7.23</v>
      </c>
      <c r="AI38" s="32" t="s">
        <v>104</v>
      </c>
      <c r="AJ38" s="33" t="s">
        <v>105</v>
      </c>
      <c r="AK38" s="34">
        <v>7.45</v>
      </c>
      <c r="AL38" s="32" t="s">
        <v>104</v>
      </c>
      <c r="AM38" s="35" t="s">
        <v>106</v>
      </c>
    </row>
    <row r="39" spans="1:39" ht="19.899999999999999" customHeight="1" x14ac:dyDescent="0.2">
      <c r="A39" s="39" t="s">
        <v>109</v>
      </c>
      <c r="B39" s="22">
        <v>190</v>
      </c>
      <c r="C39" s="23">
        <v>250</v>
      </c>
      <c r="D39" s="24">
        <v>6.13</v>
      </c>
      <c r="E39" s="25" t="s">
        <v>104</v>
      </c>
      <c r="F39" s="26" t="s">
        <v>105</v>
      </c>
      <c r="G39" s="27">
        <v>6.47</v>
      </c>
      <c r="H39" s="25" t="s">
        <v>104</v>
      </c>
      <c r="I39" s="28" t="s">
        <v>105</v>
      </c>
      <c r="J39" s="24">
        <v>6.5</v>
      </c>
      <c r="K39" s="25" t="s">
        <v>104</v>
      </c>
      <c r="L39" s="26" t="s">
        <v>105</v>
      </c>
      <c r="M39" s="27">
        <v>6.86</v>
      </c>
      <c r="N39" s="25" t="s">
        <v>104</v>
      </c>
      <c r="O39" s="28" t="s">
        <v>105</v>
      </c>
      <c r="P39" s="24">
        <v>6.63</v>
      </c>
      <c r="Q39" s="25" t="s">
        <v>104</v>
      </c>
      <c r="R39" s="26" t="s">
        <v>105</v>
      </c>
      <c r="S39" s="27">
        <v>6.99</v>
      </c>
      <c r="T39" s="25" t="s">
        <v>104</v>
      </c>
      <c r="U39" s="28" t="s">
        <v>105</v>
      </c>
      <c r="V39" s="24">
        <v>6.29</v>
      </c>
      <c r="W39" s="25" t="s">
        <v>104</v>
      </c>
      <c r="X39" s="26" t="s">
        <v>105</v>
      </c>
      <c r="Y39" s="27">
        <v>6.64</v>
      </c>
      <c r="Z39" s="25" t="s">
        <v>104</v>
      </c>
      <c r="AA39" s="28" t="s">
        <v>105</v>
      </c>
      <c r="AB39" s="24">
        <v>6.68</v>
      </c>
      <c r="AC39" s="25" t="s">
        <v>104</v>
      </c>
      <c r="AD39" s="26" t="s">
        <v>105</v>
      </c>
      <c r="AE39" s="27">
        <v>7.04</v>
      </c>
      <c r="AF39" s="25" t="s">
        <v>104</v>
      </c>
      <c r="AG39" s="28" t="s">
        <v>105</v>
      </c>
      <c r="AH39" s="24">
        <v>6.83</v>
      </c>
      <c r="AI39" s="25" t="s">
        <v>104</v>
      </c>
      <c r="AJ39" s="26" t="s">
        <v>105</v>
      </c>
      <c r="AK39" s="27">
        <v>7.2</v>
      </c>
      <c r="AL39" s="25" t="s">
        <v>104</v>
      </c>
      <c r="AM39" s="28" t="s">
        <v>105</v>
      </c>
    </row>
    <row r="40" spans="1:39" ht="19.899999999999999" customHeight="1" x14ac:dyDescent="0.2">
      <c r="A40" s="39" t="s">
        <v>109</v>
      </c>
      <c r="B40" s="29">
        <v>240</v>
      </c>
      <c r="C40" s="30">
        <v>250</v>
      </c>
      <c r="D40" s="31">
        <v>6.01</v>
      </c>
      <c r="E40" s="32" t="s">
        <v>104</v>
      </c>
      <c r="F40" s="33" t="s">
        <v>105</v>
      </c>
      <c r="G40" s="34">
        <v>6.33</v>
      </c>
      <c r="H40" s="32" t="s">
        <v>104</v>
      </c>
      <c r="I40" s="35" t="s">
        <v>105</v>
      </c>
      <c r="J40" s="31">
        <v>6.37</v>
      </c>
      <c r="K40" s="32" t="s">
        <v>104</v>
      </c>
      <c r="L40" s="33" t="s">
        <v>105</v>
      </c>
      <c r="M40" s="34">
        <v>6.72</v>
      </c>
      <c r="N40" s="32" t="s">
        <v>104</v>
      </c>
      <c r="O40" s="35" t="s">
        <v>105</v>
      </c>
      <c r="P40" s="31">
        <v>6.49</v>
      </c>
      <c r="Q40" s="32" t="s">
        <v>104</v>
      </c>
      <c r="R40" s="33" t="s">
        <v>105</v>
      </c>
      <c r="S40" s="34">
        <v>6.84</v>
      </c>
      <c r="T40" s="32" t="s">
        <v>104</v>
      </c>
      <c r="U40" s="35" t="s">
        <v>105</v>
      </c>
      <c r="V40" s="31">
        <v>6.16</v>
      </c>
      <c r="W40" s="32" t="s">
        <v>104</v>
      </c>
      <c r="X40" s="33" t="s">
        <v>105</v>
      </c>
      <c r="Y40" s="34">
        <v>6.49</v>
      </c>
      <c r="Z40" s="32" t="s">
        <v>104</v>
      </c>
      <c r="AA40" s="35" t="s">
        <v>105</v>
      </c>
      <c r="AB40" s="31">
        <v>6.53</v>
      </c>
      <c r="AC40" s="32" t="s">
        <v>104</v>
      </c>
      <c r="AD40" s="33" t="s">
        <v>105</v>
      </c>
      <c r="AE40" s="34">
        <v>6.89</v>
      </c>
      <c r="AF40" s="32" t="s">
        <v>104</v>
      </c>
      <c r="AG40" s="35" t="s">
        <v>105</v>
      </c>
      <c r="AH40" s="31">
        <v>6.68</v>
      </c>
      <c r="AI40" s="32" t="s">
        <v>104</v>
      </c>
      <c r="AJ40" s="33" t="s">
        <v>105</v>
      </c>
      <c r="AK40" s="34">
        <v>7.05</v>
      </c>
      <c r="AL40" s="32" t="s">
        <v>104</v>
      </c>
      <c r="AM40" s="35" t="s">
        <v>105</v>
      </c>
    </row>
    <row r="41" spans="1:39" ht="19.899999999999999" customHeight="1" x14ac:dyDescent="0.2">
      <c r="A41" s="40" t="s">
        <v>109</v>
      </c>
      <c r="B41" s="41">
        <v>270</v>
      </c>
      <c r="C41" s="42">
        <v>250</v>
      </c>
      <c r="D41" s="43">
        <v>5.94</v>
      </c>
      <c r="E41" s="44" t="s">
        <v>104</v>
      </c>
      <c r="F41" s="45" t="s">
        <v>105</v>
      </c>
      <c r="G41" s="46">
        <v>6.26</v>
      </c>
      <c r="H41" s="44" t="s">
        <v>104</v>
      </c>
      <c r="I41" s="47" t="s">
        <v>105</v>
      </c>
      <c r="J41" s="43">
        <v>6.3</v>
      </c>
      <c r="K41" s="44" t="s">
        <v>104</v>
      </c>
      <c r="L41" s="45" t="s">
        <v>105</v>
      </c>
      <c r="M41" s="46">
        <v>6.64</v>
      </c>
      <c r="N41" s="44" t="s">
        <v>104</v>
      </c>
      <c r="O41" s="47" t="s">
        <v>105</v>
      </c>
      <c r="P41" s="43">
        <v>6.41</v>
      </c>
      <c r="Q41" s="44" t="s">
        <v>104</v>
      </c>
      <c r="R41" s="45" t="s">
        <v>105</v>
      </c>
      <c r="S41" s="46">
        <v>6.76</v>
      </c>
      <c r="T41" s="44" t="s">
        <v>104</v>
      </c>
      <c r="U41" s="47" t="s">
        <v>105</v>
      </c>
      <c r="V41" s="43">
        <v>6.08</v>
      </c>
      <c r="W41" s="44" t="s">
        <v>104</v>
      </c>
      <c r="X41" s="45" t="s">
        <v>105</v>
      </c>
      <c r="Y41" s="46">
        <v>6.41</v>
      </c>
      <c r="Z41" s="44" t="s">
        <v>104</v>
      </c>
      <c r="AA41" s="47" t="s">
        <v>105</v>
      </c>
      <c r="AB41" s="43">
        <v>6.45</v>
      </c>
      <c r="AC41" s="44" t="s">
        <v>104</v>
      </c>
      <c r="AD41" s="45" t="s">
        <v>105</v>
      </c>
      <c r="AE41" s="46">
        <v>6.8</v>
      </c>
      <c r="AF41" s="44" t="s">
        <v>104</v>
      </c>
      <c r="AG41" s="47" t="s">
        <v>105</v>
      </c>
      <c r="AH41" s="43">
        <v>6.6</v>
      </c>
      <c r="AI41" s="44" t="s">
        <v>104</v>
      </c>
      <c r="AJ41" s="45" t="s">
        <v>105</v>
      </c>
      <c r="AK41" s="46">
        <v>6.96</v>
      </c>
      <c r="AL41" s="44" t="s">
        <v>104</v>
      </c>
      <c r="AM41" s="47" t="s">
        <v>105</v>
      </c>
    </row>
    <row r="42" spans="1:39" ht="15" x14ac:dyDescent="0.2">
      <c r="A42" s="1" t="e">
        <v>#REF!</v>
      </c>
      <c r="B42" s="36" t="e">
        <v>#REF!</v>
      </c>
      <c r="C42" s="36" t="e">
        <v>#REF!</v>
      </c>
      <c r="D42" s="37" t="e">
        <v>#REF!</v>
      </c>
      <c r="E42" s="36" t="e">
        <v>#REF!</v>
      </c>
      <c r="F42" s="36" t="e">
        <v>#REF!</v>
      </c>
      <c r="G42" s="36" t="e">
        <v>#REF!</v>
      </c>
      <c r="H42" s="36" t="e">
        <v>#REF!</v>
      </c>
      <c r="I42" s="36" t="e">
        <v>#REF!</v>
      </c>
      <c r="J42" s="37" t="e">
        <v>#REF!</v>
      </c>
      <c r="K42" s="36" t="e">
        <v>#REF!</v>
      </c>
      <c r="L42" s="36" t="e">
        <v>#REF!</v>
      </c>
      <c r="M42" s="36" t="e">
        <v>#REF!</v>
      </c>
      <c r="N42" s="36" t="e">
        <v>#REF!</v>
      </c>
      <c r="O42" s="36" t="e">
        <v>#REF!</v>
      </c>
      <c r="P42" s="37" t="e">
        <v>#REF!</v>
      </c>
      <c r="Q42" s="36" t="e">
        <v>#REF!</v>
      </c>
      <c r="R42" s="36" t="e">
        <v>#REF!</v>
      </c>
      <c r="S42" s="36" t="e">
        <v>#REF!</v>
      </c>
      <c r="T42" s="36" t="e">
        <v>#REF!</v>
      </c>
      <c r="U42" s="36" t="e">
        <v>#REF!</v>
      </c>
      <c r="V42" s="37" t="e">
        <v>#REF!</v>
      </c>
      <c r="W42" s="36" t="e">
        <v>#REF!</v>
      </c>
      <c r="X42" s="36" t="e">
        <v>#REF!</v>
      </c>
      <c r="Y42" s="36" t="e">
        <v>#REF!</v>
      </c>
      <c r="Z42" s="36" t="e">
        <v>#REF!</v>
      </c>
      <c r="AA42" s="36" t="e">
        <v>#REF!</v>
      </c>
      <c r="AB42" s="37" t="e">
        <v>#REF!</v>
      </c>
      <c r="AC42" s="36" t="e">
        <v>#REF!</v>
      </c>
      <c r="AD42" s="36" t="e">
        <v>#REF!</v>
      </c>
      <c r="AE42" s="36" t="e">
        <v>#REF!</v>
      </c>
      <c r="AF42" s="36" t="e">
        <v>#REF!</v>
      </c>
      <c r="AG42" s="36" t="e">
        <v>#REF!</v>
      </c>
      <c r="AH42" s="37" t="e">
        <v>#REF!</v>
      </c>
      <c r="AI42" s="36" t="e">
        <v>#REF!</v>
      </c>
      <c r="AJ42" s="36" t="e">
        <v>#REF!</v>
      </c>
      <c r="AK42" s="36" t="e">
        <v>#REF!</v>
      </c>
      <c r="AL42" s="36" t="e">
        <v>#REF!</v>
      </c>
      <c r="AM42" s="36" t="e">
        <v>#REF!</v>
      </c>
    </row>
    <row r="44" spans="1:39" x14ac:dyDescent="0.2">
      <c r="A44" s="11" t="s">
        <v>7</v>
      </c>
      <c r="B44" s="12"/>
      <c r="C44" s="13"/>
      <c r="D44" s="14"/>
      <c r="E44" s="14"/>
      <c r="F44" s="12"/>
    </row>
    <row r="45" spans="1:39" x14ac:dyDescent="0.2">
      <c r="A45" s="11" t="s">
        <v>8</v>
      </c>
      <c r="B45" s="12"/>
      <c r="C45" s="13"/>
      <c r="D45" s="14"/>
      <c r="E45" s="14"/>
      <c r="F45" s="12"/>
    </row>
    <row r="46" spans="1:39" x14ac:dyDescent="0.2">
      <c r="A46" s="11" t="s">
        <v>9</v>
      </c>
      <c r="B46" s="12"/>
      <c r="C46" s="13"/>
      <c r="D46" s="14"/>
      <c r="E46" s="14"/>
      <c r="F46" s="12"/>
    </row>
  </sheetData>
  <mergeCells count="26">
    <mergeCell ref="AH5:AJ5"/>
    <mergeCell ref="AK5:AM5"/>
    <mergeCell ref="P5:R5"/>
    <mergeCell ref="S5:U5"/>
    <mergeCell ref="V5:X5"/>
    <mergeCell ref="Y5:AA5"/>
    <mergeCell ref="AB5:AD5"/>
    <mergeCell ref="AE5:AG5"/>
    <mergeCell ref="AB3:AG3"/>
    <mergeCell ref="AH3:AM3"/>
    <mergeCell ref="D4:I4"/>
    <mergeCell ref="J4:O4"/>
    <mergeCell ref="P4:U4"/>
    <mergeCell ref="V4:AA4"/>
    <mergeCell ref="AB4:AG4"/>
    <mergeCell ref="AH4:AM4"/>
    <mergeCell ref="V3:AA3"/>
    <mergeCell ref="A3:A5"/>
    <mergeCell ref="B3:C3"/>
    <mergeCell ref="D3:I3"/>
    <mergeCell ref="J3:O3"/>
    <mergeCell ref="P3:U3"/>
    <mergeCell ref="D5:F5"/>
    <mergeCell ref="G5:I5"/>
    <mergeCell ref="J5:L5"/>
    <mergeCell ref="M5:O5"/>
  </mergeCells>
  <printOptions horizontalCentered="1"/>
  <pageMargins left="0.25" right="0.25" top="0.75" bottom="0.75" header="0.3" footer="0.3"/>
  <pageSetup paperSize="8" fitToHeight="0" orientation="landscape" verticalDpi="300" r:id="rId1"/>
  <headerFooter alignWithMargins="0">
    <oddFooter>&amp;L&amp;"MS Sans Serif,Gras"SEAC - Confidentiel&amp;C&amp;D - &amp;T&amp;RPage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5E59-A33A-4B4C-BDBF-49AEAD745C7A}">
  <dimension ref="A1"/>
  <sheetViews>
    <sheetView showGridLines="0" showRowColHeaders="0" zoomScale="85" zoomScaleNormal="85" workbookViewId="0">
      <selection activeCell="T38" sqref="T38"/>
    </sheetView>
  </sheetViews>
  <sheetFormatPr baseColWidth="10" defaultRowHeight="12.75" x14ac:dyDescent="0.2"/>
  <cols>
    <col min="1" max="16384" width="11.42578125" style="104"/>
  </cols>
  <sheetData/>
  <sheetProtection algorithmName="SHA-512" hashValue="ygBDjGI9VLGNaoML0Fa96LGaLjHjRM4QPL753Fdw3w7Xj8NxQQ9fH0tDLbCGhL1YvwBBhc6pglX8mBWIi9+u7A==" saltValue="SpyI57QT8G2ZT0amny7HDQ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509B-59FD-4793-8287-621EA8DF4146}">
  <dimension ref="B4:I18"/>
  <sheetViews>
    <sheetView showGridLines="0" showRowColHeaders="0" zoomScale="89" zoomScaleNormal="89" workbookViewId="0">
      <selection activeCell="R54" sqref="R54"/>
    </sheetView>
  </sheetViews>
  <sheetFormatPr baseColWidth="10" defaultRowHeight="12.75" x14ac:dyDescent="0.2"/>
  <cols>
    <col min="1" max="16384" width="11.42578125" style="84"/>
  </cols>
  <sheetData>
    <row r="4" spans="5:9" ht="41.25" x14ac:dyDescent="0.8">
      <c r="I4" s="88" t="s">
        <v>149</v>
      </c>
    </row>
    <row r="7" spans="5:9" ht="15.75" x14ac:dyDescent="0.25">
      <c r="E7" s="85" t="s">
        <v>154</v>
      </c>
      <c r="F7" s="86"/>
    </row>
    <row r="8" spans="5:9" ht="15.75" x14ac:dyDescent="0.25">
      <c r="E8" s="85" t="s">
        <v>155</v>
      </c>
      <c r="H8" s="87" t="s">
        <v>150</v>
      </c>
    </row>
    <row r="9" spans="5:9" ht="15.75" x14ac:dyDescent="0.25">
      <c r="E9" s="85"/>
      <c r="F9" s="87"/>
      <c r="H9" s="87" t="s">
        <v>151</v>
      </c>
    </row>
    <row r="10" spans="5:9" x14ac:dyDescent="0.2">
      <c r="H10" s="87" t="s">
        <v>152</v>
      </c>
    </row>
    <row r="11" spans="5:9" x14ac:dyDescent="0.2">
      <c r="H11" s="87" t="s">
        <v>156</v>
      </c>
    </row>
    <row r="12" spans="5:9" x14ac:dyDescent="0.2">
      <c r="H12" s="87" t="s">
        <v>153</v>
      </c>
    </row>
    <row r="14" spans="5:9" ht="15.75" x14ac:dyDescent="0.25">
      <c r="E14" s="85" t="s">
        <v>157</v>
      </c>
    </row>
    <row r="18" spans="2:2" x14ac:dyDescent="0.2">
      <c r="B18" s="87"/>
    </row>
  </sheetData>
  <sheetProtection algorithmName="SHA-512" hashValue="qXwQPBN0YgOyrRWdeJiFVYjU2usE6hYf9noAyqvzS3Z5f8Wfe/osIQSCQtYedrBzZtANokEksfeIeYRCB4nS/A==" saltValue="IxuUoGDns2ygcm1BjUJQpQ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2EA0-CBCF-4949-B17F-57BD1E8975CF}">
  <dimension ref="E5:BM69"/>
  <sheetViews>
    <sheetView showRowColHeaders="0" zoomScaleNormal="100" workbookViewId="0">
      <selection activeCell="E6" sqref="E6"/>
    </sheetView>
  </sheetViews>
  <sheetFormatPr baseColWidth="10" defaultRowHeight="12.75" x14ac:dyDescent="0.2"/>
  <cols>
    <col min="1" max="7" width="11.42578125" style="89"/>
    <col min="8" max="15" width="7.7109375" style="89" customWidth="1"/>
    <col min="16" max="17" width="11.42578125" style="89"/>
    <col min="18" max="25" width="7.7109375" style="89" customWidth="1"/>
    <col min="26" max="27" width="11.42578125" style="89"/>
    <col min="28" max="35" width="7.7109375" style="89" customWidth="1"/>
    <col min="36" max="37" width="11.42578125" style="89"/>
    <col min="38" max="45" width="7.7109375" style="89" customWidth="1"/>
    <col min="46" max="47" width="11.42578125" style="89"/>
    <col min="48" max="55" width="7.7109375" style="89" customWidth="1"/>
    <col min="56" max="57" width="11.42578125" style="89"/>
    <col min="58" max="65" width="7.7109375" style="89" customWidth="1"/>
    <col min="66" max="16384" width="11.42578125" style="89"/>
  </cols>
  <sheetData>
    <row r="5" spans="7:65" x14ac:dyDescent="0.2">
      <c r="K5" s="90"/>
    </row>
    <row r="9" spans="7:65" hidden="1" x14ac:dyDescent="0.2"/>
    <row r="10" spans="7:65" ht="19.5" hidden="1" x14ac:dyDescent="0.3">
      <c r="K10" s="91">
        <v>12</v>
      </c>
      <c r="T10" s="91">
        <v>12</v>
      </c>
      <c r="AD10" s="91">
        <v>15</v>
      </c>
      <c r="AN10" s="91">
        <v>15</v>
      </c>
      <c r="AX10" s="91">
        <v>20</v>
      </c>
      <c r="BH10" s="91">
        <v>20</v>
      </c>
    </row>
    <row r="11" spans="7:65" hidden="1" x14ac:dyDescent="0.2">
      <c r="K11" s="90" t="s">
        <v>78</v>
      </c>
      <c r="T11" s="90" t="s">
        <v>79</v>
      </c>
      <c r="AD11" s="90" t="s">
        <v>78</v>
      </c>
      <c r="AN11" s="90" t="s">
        <v>79</v>
      </c>
      <c r="AX11" s="90" t="s">
        <v>78</v>
      </c>
      <c r="BH11" s="90" t="s">
        <v>79</v>
      </c>
    </row>
    <row r="12" spans="7:65" hidden="1" x14ac:dyDescent="0.2">
      <c r="H12" s="89">
        <v>137</v>
      </c>
      <c r="J12" s="89">
        <v>137</v>
      </c>
      <c r="K12" s="90"/>
      <c r="L12" s="89">
        <v>137</v>
      </c>
      <c r="N12" s="89">
        <v>137</v>
      </c>
      <c r="R12" s="89">
        <v>937</v>
      </c>
      <c r="AB12" s="89">
        <v>158</v>
      </c>
      <c r="AD12" s="89">
        <v>179</v>
      </c>
      <c r="AF12" s="89">
        <v>189</v>
      </c>
      <c r="AH12" s="89">
        <v>189</v>
      </c>
      <c r="AL12" s="89" t="s">
        <v>69</v>
      </c>
      <c r="AN12" s="89">
        <v>179</v>
      </c>
      <c r="AP12" s="89">
        <v>179</v>
      </c>
      <c r="AR12" s="89">
        <v>179</v>
      </c>
      <c r="AV12" s="89">
        <v>189</v>
      </c>
      <c r="AX12" s="89">
        <v>189</v>
      </c>
      <c r="AZ12" s="89">
        <v>189</v>
      </c>
      <c r="BB12" s="89">
        <v>189</v>
      </c>
      <c r="BF12" s="89">
        <v>189</v>
      </c>
      <c r="BH12" s="89">
        <v>189</v>
      </c>
      <c r="BJ12" s="89">
        <v>189</v>
      </c>
      <c r="BL12" s="89">
        <v>189</v>
      </c>
    </row>
    <row r="13" spans="7:65" hidden="1" x14ac:dyDescent="0.2">
      <c r="H13" s="231" t="s">
        <v>111</v>
      </c>
      <c r="I13" s="231"/>
      <c r="J13" s="231" t="s">
        <v>112</v>
      </c>
      <c r="K13" s="231"/>
      <c r="L13" s="231" t="s">
        <v>113</v>
      </c>
      <c r="M13" s="231"/>
      <c r="N13" s="231" t="s">
        <v>114</v>
      </c>
      <c r="O13" s="231"/>
      <c r="R13" s="231" t="s">
        <v>111</v>
      </c>
      <c r="S13" s="231"/>
      <c r="T13" s="231" t="s">
        <v>112</v>
      </c>
      <c r="U13" s="231"/>
      <c r="V13" s="231" t="s">
        <v>113</v>
      </c>
      <c r="W13" s="231"/>
      <c r="X13" s="231" t="s">
        <v>114</v>
      </c>
      <c r="Y13" s="231"/>
      <c r="AB13" s="231" t="s">
        <v>115</v>
      </c>
      <c r="AC13" s="231"/>
      <c r="AD13" s="231" t="s">
        <v>116</v>
      </c>
      <c r="AE13" s="231"/>
      <c r="AF13" s="231" t="s">
        <v>117</v>
      </c>
      <c r="AG13" s="231"/>
      <c r="AH13" s="231" t="s">
        <v>118</v>
      </c>
      <c r="AI13" s="231"/>
      <c r="AL13" s="231" t="s">
        <v>115</v>
      </c>
      <c r="AM13" s="231"/>
      <c r="AN13" s="231" t="s">
        <v>116</v>
      </c>
      <c r="AO13" s="231"/>
      <c r="AP13" s="231" t="s">
        <v>117</v>
      </c>
      <c r="AQ13" s="231"/>
      <c r="AR13" s="231" t="s">
        <v>118</v>
      </c>
      <c r="AS13" s="231"/>
      <c r="AV13" s="231" t="s">
        <v>119</v>
      </c>
      <c r="AW13" s="231"/>
      <c r="AX13" s="231" t="s">
        <v>120</v>
      </c>
      <c r="AY13" s="231"/>
      <c r="AZ13" s="231" t="s">
        <v>121</v>
      </c>
      <c r="BA13" s="231"/>
      <c r="BB13" s="231" t="s">
        <v>122</v>
      </c>
      <c r="BC13" s="231"/>
      <c r="BF13" s="231" t="s">
        <v>119</v>
      </c>
      <c r="BG13" s="231"/>
      <c r="BH13" s="231" t="s">
        <v>120</v>
      </c>
      <c r="BI13" s="231"/>
      <c r="BJ13" s="231" t="s">
        <v>121</v>
      </c>
      <c r="BK13" s="231"/>
      <c r="BL13" s="231" t="s">
        <v>122</v>
      </c>
      <c r="BM13" s="231"/>
    </row>
    <row r="14" spans="7:65" hidden="1" x14ac:dyDescent="0.2">
      <c r="H14" s="231">
        <v>5</v>
      </c>
      <c r="I14" s="231"/>
      <c r="J14" s="231">
        <v>6</v>
      </c>
      <c r="K14" s="231"/>
      <c r="L14" s="231">
        <v>7</v>
      </c>
      <c r="M14" s="231"/>
      <c r="N14" s="231">
        <v>8</v>
      </c>
      <c r="O14" s="231"/>
      <c r="R14" s="231">
        <v>5</v>
      </c>
      <c r="S14" s="231"/>
      <c r="T14" s="231">
        <v>6</v>
      </c>
      <c r="U14" s="231"/>
      <c r="V14" s="231">
        <v>7</v>
      </c>
      <c r="W14" s="231"/>
      <c r="X14" s="231">
        <v>8</v>
      </c>
      <c r="Y14" s="231"/>
      <c r="AB14" s="231">
        <v>5</v>
      </c>
      <c r="AC14" s="231"/>
      <c r="AD14" s="231">
        <v>6</v>
      </c>
      <c r="AE14" s="231"/>
      <c r="AF14" s="231">
        <v>7</v>
      </c>
      <c r="AG14" s="231"/>
      <c r="AH14" s="231">
        <v>8</v>
      </c>
      <c r="AI14" s="231"/>
      <c r="AL14" s="231">
        <v>5</v>
      </c>
      <c r="AM14" s="231"/>
      <c r="AN14" s="231">
        <v>6</v>
      </c>
      <c r="AO14" s="231"/>
      <c r="AP14" s="231">
        <v>7</v>
      </c>
      <c r="AQ14" s="231"/>
      <c r="AR14" s="231">
        <v>8</v>
      </c>
      <c r="AS14" s="231"/>
      <c r="AV14" s="231">
        <v>5</v>
      </c>
      <c r="AW14" s="231"/>
      <c r="AX14" s="231">
        <v>6</v>
      </c>
      <c r="AY14" s="231"/>
      <c r="AZ14" s="231">
        <v>7</v>
      </c>
      <c r="BA14" s="231"/>
      <c r="BB14" s="231">
        <v>8</v>
      </c>
      <c r="BC14" s="231"/>
      <c r="BF14" s="231">
        <v>5</v>
      </c>
      <c r="BG14" s="231"/>
      <c r="BH14" s="231">
        <v>6</v>
      </c>
      <c r="BI14" s="231"/>
      <c r="BJ14" s="231">
        <v>7</v>
      </c>
      <c r="BK14" s="231"/>
      <c r="BL14" s="231">
        <v>8</v>
      </c>
      <c r="BM14" s="231"/>
    </row>
    <row r="15" spans="7:65" hidden="1" x14ac:dyDescent="0.2">
      <c r="H15" s="92" t="s">
        <v>24</v>
      </c>
      <c r="I15" s="92" t="s">
        <v>25</v>
      </c>
      <c r="J15" s="92" t="s">
        <v>24</v>
      </c>
      <c r="K15" s="92" t="s">
        <v>25</v>
      </c>
      <c r="L15" s="92" t="s">
        <v>24</v>
      </c>
      <c r="M15" s="92" t="s">
        <v>25</v>
      </c>
      <c r="N15" s="92" t="s">
        <v>24</v>
      </c>
      <c r="O15" s="92" t="s">
        <v>25</v>
      </c>
      <c r="R15" s="92" t="s">
        <v>24</v>
      </c>
      <c r="S15" s="92" t="s">
        <v>25</v>
      </c>
      <c r="T15" s="92" t="s">
        <v>24</v>
      </c>
      <c r="U15" s="92" t="s">
        <v>25</v>
      </c>
      <c r="V15" s="92" t="s">
        <v>24</v>
      </c>
      <c r="W15" s="92" t="s">
        <v>25</v>
      </c>
      <c r="X15" s="92" t="s">
        <v>24</v>
      </c>
      <c r="Y15" s="92" t="s">
        <v>25</v>
      </c>
      <c r="AB15" s="92" t="s">
        <v>24</v>
      </c>
      <c r="AC15" s="92" t="s">
        <v>25</v>
      </c>
      <c r="AD15" s="92" t="s">
        <v>24</v>
      </c>
      <c r="AE15" s="92" t="s">
        <v>25</v>
      </c>
      <c r="AF15" s="92" t="s">
        <v>24</v>
      </c>
      <c r="AG15" s="92" t="s">
        <v>25</v>
      </c>
      <c r="AH15" s="92" t="s">
        <v>24</v>
      </c>
      <c r="AI15" s="92" t="s">
        <v>25</v>
      </c>
      <c r="AL15" s="92" t="s">
        <v>24</v>
      </c>
      <c r="AM15" s="92" t="s">
        <v>25</v>
      </c>
      <c r="AN15" s="92" t="s">
        <v>24</v>
      </c>
      <c r="AO15" s="92" t="s">
        <v>25</v>
      </c>
      <c r="AP15" s="92" t="s">
        <v>24</v>
      </c>
      <c r="AQ15" s="92" t="s">
        <v>25</v>
      </c>
      <c r="AR15" s="92" t="s">
        <v>24</v>
      </c>
      <c r="AS15" s="92" t="s">
        <v>25</v>
      </c>
      <c r="AV15" s="92" t="s">
        <v>24</v>
      </c>
      <c r="AW15" s="92" t="s">
        <v>25</v>
      </c>
      <c r="AX15" s="92" t="s">
        <v>24</v>
      </c>
      <c r="AY15" s="92" t="s">
        <v>25</v>
      </c>
      <c r="AZ15" s="92" t="s">
        <v>24</v>
      </c>
      <c r="BA15" s="92" t="s">
        <v>25</v>
      </c>
      <c r="BB15" s="92" t="s">
        <v>24</v>
      </c>
      <c r="BC15" s="92" t="s">
        <v>25</v>
      </c>
      <c r="BF15" s="92" t="s">
        <v>24</v>
      </c>
      <c r="BG15" s="92" t="s">
        <v>25</v>
      </c>
      <c r="BH15" s="92" t="s">
        <v>24</v>
      </c>
      <c r="BI15" s="92" t="s">
        <v>25</v>
      </c>
      <c r="BJ15" s="92" t="s">
        <v>24</v>
      </c>
      <c r="BK15" s="92" t="s">
        <v>25</v>
      </c>
      <c r="BL15" s="92" t="s">
        <v>24</v>
      </c>
      <c r="BM15" s="92" t="s">
        <v>25</v>
      </c>
    </row>
    <row r="16" spans="7:65" hidden="1" x14ac:dyDescent="0.2">
      <c r="G16" s="89" t="s">
        <v>161</v>
      </c>
      <c r="H16" s="89">
        <v>6.2</v>
      </c>
      <c r="I16" s="89">
        <v>6.65</v>
      </c>
      <c r="J16" s="89">
        <v>6.4</v>
      </c>
      <c r="K16" s="89">
        <v>6.85</v>
      </c>
      <c r="L16" s="89">
        <v>6.55</v>
      </c>
      <c r="M16" s="89">
        <v>7.05</v>
      </c>
      <c r="N16" s="89">
        <v>6.7</v>
      </c>
      <c r="O16" s="89">
        <v>7.25</v>
      </c>
      <c r="Q16" s="89" t="s">
        <v>161</v>
      </c>
      <c r="R16" s="89">
        <v>5.45</v>
      </c>
      <c r="S16" s="89">
        <v>5.45</v>
      </c>
      <c r="T16" s="89">
        <v>5.25</v>
      </c>
      <c r="U16" s="89">
        <v>5.25</v>
      </c>
      <c r="V16" s="89">
        <v>5.0999999999999996</v>
      </c>
      <c r="W16" s="89">
        <v>5.0999999999999996</v>
      </c>
      <c r="X16" s="89">
        <v>4.95</v>
      </c>
      <c r="Y16" s="89">
        <v>4.95</v>
      </c>
      <c r="AA16" s="89" t="s">
        <v>161</v>
      </c>
      <c r="AB16" s="89">
        <v>7.05</v>
      </c>
      <c r="AC16" s="89">
        <v>7.55</v>
      </c>
      <c r="AD16" s="89">
        <v>7.2</v>
      </c>
      <c r="AE16" s="89">
        <v>7.75</v>
      </c>
      <c r="AF16" s="89">
        <v>7.3</v>
      </c>
      <c r="AG16" s="89">
        <v>7.8</v>
      </c>
      <c r="AH16" s="89">
        <v>7.45</v>
      </c>
      <c r="AI16" s="89">
        <v>7.85</v>
      </c>
      <c r="AK16" s="89" t="s">
        <v>161</v>
      </c>
      <c r="AL16" s="89">
        <v>5.2</v>
      </c>
      <c r="AM16" s="89">
        <v>5.2</v>
      </c>
      <c r="AN16" s="89">
        <v>6.25</v>
      </c>
      <c r="AO16" s="89">
        <v>6.35</v>
      </c>
      <c r="AP16" s="89">
        <v>6.15</v>
      </c>
      <c r="AQ16" s="89">
        <v>6.15</v>
      </c>
      <c r="AR16" s="89">
        <v>6</v>
      </c>
      <c r="AS16" s="89">
        <v>6</v>
      </c>
      <c r="AU16" s="89" t="s">
        <v>161</v>
      </c>
      <c r="AV16" s="89">
        <v>8.25</v>
      </c>
      <c r="AW16" s="89">
        <v>8.9</v>
      </c>
      <c r="AX16" s="89">
        <v>8.35</v>
      </c>
      <c r="AY16" s="89">
        <v>9</v>
      </c>
      <c r="AZ16" s="89">
        <v>8.5</v>
      </c>
      <c r="BA16" s="89">
        <v>9</v>
      </c>
      <c r="BB16" s="89">
        <v>8.6</v>
      </c>
      <c r="BC16" s="89">
        <v>9</v>
      </c>
      <c r="BE16" s="89" t="s">
        <v>161</v>
      </c>
      <c r="BF16" s="89">
        <v>6.05</v>
      </c>
      <c r="BG16" s="89">
        <v>6.05</v>
      </c>
      <c r="BH16" s="89">
        <v>5.9</v>
      </c>
      <c r="BI16" s="89">
        <v>5.9</v>
      </c>
      <c r="BJ16" s="89">
        <v>5.75</v>
      </c>
      <c r="BK16" s="89">
        <v>5.75</v>
      </c>
      <c r="BL16" s="89">
        <v>5.6</v>
      </c>
      <c r="BM16" s="89">
        <v>5.6</v>
      </c>
    </row>
    <row r="17" spans="7:65" hidden="1" x14ac:dyDescent="0.2">
      <c r="G17" s="89" t="s">
        <v>34</v>
      </c>
      <c r="H17" s="89">
        <v>5.75</v>
      </c>
      <c r="I17" s="89">
        <v>6.2</v>
      </c>
      <c r="J17" s="89">
        <v>6</v>
      </c>
      <c r="K17" s="89">
        <v>6.45</v>
      </c>
      <c r="L17" s="89">
        <v>6.2</v>
      </c>
      <c r="M17" s="89">
        <v>6.7</v>
      </c>
      <c r="N17" s="89">
        <v>6.35</v>
      </c>
      <c r="O17" s="89">
        <v>6.7</v>
      </c>
      <c r="Q17" s="89" t="s">
        <v>34</v>
      </c>
      <c r="R17" s="89">
        <v>5.45</v>
      </c>
      <c r="S17" s="89">
        <v>5.45</v>
      </c>
      <c r="T17" s="89">
        <v>5.25</v>
      </c>
      <c r="U17" s="89">
        <v>5.25</v>
      </c>
      <c r="V17" s="89">
        <v>5.0999999999999996</v>
      </c>
      <c r="W17" s="89">
        <v>5.0999999999999996</v>
      </c>
      <c r="X17" s="89">
        <v>4.95</v>
      </c>
      <c r="Y17" s="89">
        <v>4.95</v>
      </c>
      <c r="AA17" s="89" t="s">
        <v>34</v>
      </c>
      <c r="AB17" s="89">
        <v>6.65</v>
      </c>
      <c r="AC17" s="89">
        <v>7.15</v>
      </c>
      <c r="AD17" s="89">
        <v>7</v>
      </c>
      <c r="AE17" s="89">
        <v>7.6</v>
      </c>
      <c r="AF17" s="89">
        <v>7.1</v>
      </c>
      <c r="AG17" s="89">
        <v>7.7</v>
      </c>
      <c r="AH17" s="89">
        <v>7.25</v>
      </c>
      <c r="AI17" s="89">
        <v>7.85</v>
      </c>
      <c r="AK17" s="89" t="s">
        <v>34</v>
      </c>
      <c r="AL17" s="89">
        <v>5.2</v>
      </c>
      <c r="AM17" s="89">
        <v>5.2</v>
      </c>
      <c r="AN17" s="89">
        <v>6.1</v>
      </c>
      <c r="AO17" s="89">
        <v>6.25</v>
      </c>
      <c r="AP17" s="89">
        <v>6</v>
      </c>
      <c r="AQ17" s="89">
        <v>6.15</v>
      </c>
      <c r="AR17" s="89">
        <v>6</v>
      </c>
      <c r="AS17" s="89">
        <v>6</v>
      </c>
      <c r="AU17" s="89" t="s">
        <v>34</v>
      </c>
      <c r="AV17" s="89">
        <v>7.8</v>
      </c>
      <c r="AW17" s="89">
        <v>8.5</v>
      </c>
      <c r="AX17" s="89">
        <v>8</v>
      </c>
      <c r="AY17" s="89">
        <v>8.6999999999999993</v>
      </c>
      <c r="AZ17" s="89">
        <v>8.0500000000000007</v>
      </c>
      <c r="BA17" s="89">
        <v>8.8000000000000007</v>
      </c>
      <c r="BB17" s="89">
        <v>8.1999999999999993</v>
      </c>
      <c r="BC17" s="89">
        <v>8.9</v>
      </c>
      <c r="BE17" s="89" t="s">
        <v>34</v>
      </c>
      <c r="BF17" s="89">
        <v>6.05</v>
      </c>
      <c r="BG17" s="89">
        <v>6.05</v>
      </c>
      <c r="BH17" s="89">
        <v>5.9</v>
      </c>
      <c r="BI17" s="89">
        <v>5.9</v>
      </c>
      <c r="BJ17" s="89">
        <v>5.75</v>
      </c>
      <c r="BK17" s="89">
        <v>5.75</v>
      </c>
      <c r="BL17" s="89">
        <v>5.6</v>
      </c>
      <c r="BM17" s="89">
        <v>5.6</v>
      </c>
    </row>
    <row r="18" spans="7:65" hidden="1" x14ac:dyDescent="0.2">
      <c r="G18" s="89" t="s">
        <v>35</v>
      </c>
      <c r="H18" s="89">
        <v>5.5</v>
      </c>
      <c r="I18" s="89">
        <v>5.95</v>
      </c>
      <c r="J18" s="89">
        <v>5.7</v>
      </c>
      <c r="K18" s="89">
        <v>6.2</v>
      </c>
      <c r="L18" s="89">
        <v>5.9</v>
      </c>
      <c r="M18" s="89">
        <v>6.4</v>
      </c>
      <c r="N18" s="89">
        <v>6.05</v>
      </c>
      <c r="O18" s="89">
        <v>6.6</v>
      </c>
      <c r="Q18" s="89" t="s">
        <v>35</v>
      </c>
      <c r="R18" s="89">
        <v>5.3</v>
      </c>
      <c r="S18" s="89">
        <v>5.45</v>
      </c>
      <c r="T18" s="89">
        <v>5.25</v>
      </c>
      <c r="U18" s="89">
        <v>5.25</v>
      </c>
      <c r="V18" s="89">
        <v>5.0999999999999996</v>
      </c>
      <c r="W18" s="89">
        <v>5.0999999999999996</v>
      </c>
      <c r="X18" s="89">
        <v>4.95</v>
      </c>
      <c r="Y18" s="89">
        <v>4.95</v>
      </c>
      <c r="AA18" s="89" t="s">
        <v>35</v>
      </c>
      <c r="AB18" s="89">
        <v>6.3</v>
      </c>
      <c r="AC18" s="89">
        <v>6.85</v>
      </c>
      <c r="AD18" s="89">
        <v>6.65</v>
      </c>
      <c r="AE18" s="89">
        <v>7.25</v>
      </c>
      <c r="AF18" s="89">
        <v>6.75</v>
      </c>
      <c r="AG18" s="89">
        <v>7.35</v>
      </c>
      <c r="AH18" s="89">
        <v>6.9</v>
      </c>
      <c r="AI18" s="89">
        <v>7.55</v>
      </c>
      <c r="AK18" s="89" t="s">
        <v>35</v>
      </c>
      <c r="AL18" s="89">
        <v>5.2</v>
      </c>
      <c r="AM18" s="89">
        <v>5.2</v>
      </c>
      <c r="AN18" s="89">
        <v>5.95</v>
      </c>
      <c r="AO18" s="89">
        <v>6.25</v>
      </c>
      <c r="AP18" s="89">
        <v>6</v>
      </c>
      <c r="AQ18" s="89">
        <v>6.15</v>
      </c>
      <c r="AR18" s="89">
        <v>6</v>
      </c>
      <c r="AS18" s="89">
        <v>6</v>
      </c>
      <c r="AU18" s="89" t="s">
        <v>35</v>
      </c>
      <c r="AV18" s="89">
        <v>7.45</v>
      </c>
      <c r="AW18" s="89">
        <v>8.1</v>
      </c>
      <c r="AX18" s="89">
        <v>7.65</v>
      </c>
      <c r="AY18" s="89">
        <v>8.35</v>
      </c>
      <c r="AZ18" s="89">
        <v>7.7</v>
      </c>
      <c r="BA18" s="89">
        <v>8.4499999999999993</v>
      </c>
      <c r="BB18" s="89">
        <v>7.85</v>
      </c>
      <c r="BC18" s="89">
        <v>8.6</v>
      </c>
      <c r="BE18" s="89" t="s">
        <v>35</v>
      </c>
      <c r="BF18" s="89">
        <v>6.05</v>
      </c>
      <c r="BG18" s="89">
        <v>6.05</v>
      </c>
      <c r="BH18" s="89">
        <v>5.9</v>
      </c>
      <c r="BI18" s="89">
        <v>5.9</v>
      </c>
      <c r="BJ18" s="89">
        <v>5.75</v>
      </c>
      <c r="BK18" s="89">
        <v>5.75</v>
      </c>
      <c r="BL18" s="89">
        <v>5.6</v>
      </c>
      <c r="BM18" s="89">
        <v>5.6</v>
      </c>
    </row>
    <row r="19" spans="7:65" hidden="1" x14ac:dyDescent="0.2">
      <c r="G19" s="89" t="s">
        <v>36</v>
      </c>
      <c r="H19" s="89">
        <v>5.25</v>
      </c>
      <c r="I19" s="89">
        <v>5.7</v>
      </c>
      <c r="J19" s="89">
        <v>5.45</v>
      </c>
      <c r="K19" s="89">
        <v>5.95</v>
      </c>
      <c r="L19" s="89">
        <v>5.65</v>
      </c>
      <c r="M19" s="89">
        <v>6.15</v>
      </c>
      <c r="N19" s="89">
        <v>5.8</v>
      </c>
      <c r="O19" s="89">
        <v>6.35</v>
      </c>
      <c r="Q19" s="89" t="s">
        <v>36</v>
      </c>
      <c r="R19" s="89">
        <v>5.0999999999999996</v>
      </c>
      <c r="S19" s="89">
        <v>5.25</v>
      </c>
      <c r="T19" s="89">
        <v>5.25</v>
      </c>
      <c r="U19" s="89">
        <v>5.25</v>
      </c>
      <c r="V19" s="89">
        <v>5.0999999999999996</v>
      </c>
      <c r="W19" s="89">
        <v>5.0999999999999996</v>
      </c>
      <c r="X19" s="89">
        <v>4.95</v>
      </c>
      <c r="Y19" s="89">
        <v>4.95</v>
      </c>
      <c r="AA19" s="89" t="s">
        <v>36</v>
      </c>
      <c r="AB19" s="89">
        <v>6</v>
      </c>
      <c r="AC19" s="89">
        <v>6.55</v>
      </c>
      <c r="AD19" s="89">
        <v>6.35</v>
      </c>
      <c r="AE19" s="89">
        <v>6.95</v>
      </c>
      <c r="AF19" s="89">
        <v>6.5</v>
      </c>
      <c r="AG19" s="89">
        <v>7.1</v>
      </c>
      <c r="AH19" s="89">
        <v>6.65</v>
      </c>
      <c r="AI19" s="89">
        <v>7.25</v>
      </c>
      <c r="AK19" s="89" t="s">
        <v>36</v>
      </c>
      <c r="AL19" s="89">
        <v>5.05</v>
      </c>
      <c r="AM19" s="89">
        <v>5.2</v>
      </c>
      <c r="AN19" s="89">
        <v>5.75</v>
      </c>
      <c r="AO19" s="89">
        <v>6.1</v>
      </c>
      <c r="AP19" s="89">
        <v>5.7</v>
      </c>
      <c r="AQ19" s="89">
        <v>6</v>
      </c>
      <c r="AR19" s="89">
        <v>5.9</v>
      </c>
      <c r="AS19" s="89">
        <v>6</v>
      </c>
      <c r="AU19" s="89" t="s">
        <v>36</v>
      </c>
      <c r="AV19" s="89">
        <v>7.15</v>
      </c>
      <c r="AW19" s="89">
        <v>7.8</v>
      </c>
      <c r="AX19" s="89">
        <v>7.35</v>
      </c>
      <c r="AY19" s="89">
        <v>8.0500000000000007</v>
      </c>
      <c r="AZ19" s="89">
        <v>7.45</v>
      </c>
      <c r="BA19" s="89">
        <v>8.15</v>
      </c>
      <c r="BB19" s="89">
        <v>7.55</v>
      </c>
      <c r="BC19" s="89">
        <v>8.3000000000000007</v>
      </c>
      <c r="BE19" s="89" t="s">
        <v>36</v>
      </c>
      <c r="BF19" s="89">
        <v>6.05</v>
      </c>
      <c r="BG19" s="89">
        <v>6.05</v>
      </c>
      <c r="BH19" s="89">
        <v>5.9</v>
      </c>
      <c r="BI19" s="89">
        <v>5.9</v>
      </c>
      <c r="BJ19" s="89">
        <v>5.75</v>
      </c>
      <c r="BK19" s="89">
        <v>5.75</v>
      </c>
      <c r="BL19" s="89">
        <v>5.6</v>
      </c>
      <c r="BM19" s="89">
        <v>5.6</v>
      </c>
    </row>
    <row r="20" spans="7:65" hidden="1" x14ac:dyDescent="0.2">
      <c r="G20" s="89" t="s">
        <v>37</v>
      </c>
      <c r="H20" s="89">
        <v>5.05</v>
      </c>
      <c r="I20" s="89">
        <v>5.5</v>
      </c>
      <c r="J20" s="89">
        <v>5.25</v>
      </c>
      <c r="K20" s="89">
        <v>5.7</v>
      </c>
      <c r="L20" s="89">
        <v>5.4</v>
      </c>
      <c r="M20" s="89">
        <v>5.9</v>
      </c>
      <c r="N20" s="89">
        <v>5.6</v>
      </c>
      <c r="O20" s="89">
        <v>6.15</v>
      </c>
      <c r="Q20" s="89" t="s">
        <v>37</v>
      </c>
      <c r="R20" s="89">
        <v>4.8</v>
      </c>
      <c r="S20" s="89">
        <v>4.8</v>
      </c>
      <c r="T20" s="89">
        <v>4.9000000000000004</v>
      </c>
      <c r="U20" s="89">
        <v>5.05</v>
      </c>
      <c r="V20" s="89">
        <v>4.8499999999999996</v>
      </c>
      <c r="W20" s="89">
        <v>5.0999999999999996</v>
      </c>
      <c r="X20" s="89">
        <v>4.75</v>
      </c>
      <c r="Y20" s="89">
        <v>4.95</v>
      </c>
      <c r="AA20" s="89" t="s">
        <v>37</v>
      </c>
      <c r="AB20" s="89">
        <v>5.8</v>
      </c>
      <c r="AC20" s="89">
        <v>6.3</v>
      </c>
      <c r="AD20" s="89">
        <v>6.1</v>
      </c>
      <c r="AE20" s="89">
        <v>6.7</v>
      </c>
      <c r="AF20" s="89">
        <v>6.25</v>
      </c>
      <c r="AG20" s="89">
        <v>6.85</v>
      </c>
      <c r="AH20" s="89">
        <v>6.4</v>
      </c>
      <c r="AI20" s="89">
        <v>7.05</v>
      </c>
      <c r="AK20" s="89" t="s">
        <v>37</v>
      </c>
      <c r="AL20" s="89">
        <v>4.9000000000000004</v>
      </c>
      <c r="AM20" s="89">
        <v>5.2</v>
      </c>
      <c r="AN20" s="89">
        <v>5.6</v>
      </c>
      <c r="AO20" s="89">
        <v>5.9</v>
      </c>
      <c r="AQ20" s="89">
        <v>6.15</v>
      </c>
      <c r="AR20" s="89">
        <v>5.7</v>
      </c>
      <c r="AS20" s="89">
        <v>6</v>
      </c>
      <c r="AU20" s="89" t="s">
        <v>37</v>
      </c>
      <c r="AV20" s="89">
        <v>6.9</v>
      </c>
      <c r="AW20" s="89">
        <v>7.55</v>
      </c>
      <c r="AX20" s="89">
        <v>7.05</v>
      </c>
      <c r="AY20" s="89">
        <v>7.8</v>
      </c>
      <c r="AZ20" s="89">
        <v>7.2</v>
      </c>
      <c r="BA20" s="89">
        <v>7.9</v>
      </c>
      <c r="BB20" s="89">
        <v>7.3</v>
      </c>
      <c r="BC20" s="89">
        <v>8.0500000000000007</v>
      </c>
      <c r="BE20" s="89" t="s">
        <v>37</v>
      </c>
      <c r="BF20" s="89">
        <v>6.05</v>
      </c>
      <c r="BG20" s="89">
        <v>6.05</v>
      </c>
      <c r="BH20" s="89">
        <v>5.8</v>
      </c>
      <c r="BI20" s="89">
        <v>5.9</v>
      </c>
      <c r="BJ20" s="89">
        <v>5.7</v>
      </c>
      <c r="BK20" s="89">
        <v>5.75</v>
      </c>
      <c r="BL20" s="89">
        <v>5.6</v>
      </c>
      <c r="BM20" s="89">
        <v>5.6</v>
      </c>
    </row>
    <row r="21" spans="7:65" hidden="1" x14ac:dyDescent="0.2">
      <c r="G21" s="89" t="s">
        <v>80</v>
      </c>
      <c r="H21" s="89">
        <v>4.6500000000000004</v>
      </c>
      <c r="I21" s="89">
        <v>4.6500000000000004</v>
      </c>
      <c r="J21" s="89">
        <v>4.8499999999999996</v>
      </c>
      <c r="K21" s="89">
        <v>4.8499999999999996</v>
      </c>
      <c r="L21" s="89">
        <v>5.0999999999999996</v>
      </c>
      <c r="M21" s="89">
        <v>5.0999999999999996</v>
      </c>
      <c r="N21" s="89">
        <v>5.2</v>
      </c>
      <c r="O21" s="89">
        <v>5.25</v>
      </c>
      <c r="Q21" s="89" t="s">
        <v>80</v>
      </c>
      <c r="R21" s="89">
        <v>4.2</v>
      </c>
      <c r="S21" s="89">
        <v>4.2</v>
      </c>
      <c r="T21" s="89">
        <v>4.25</v>
      </c>
      <c r="U21" s="89">
        <v>4.25</v>
      </c>
      <c r="V21" s="89">
        <v>4.6500000000000004</v>
      </c>
      <c r="W21" s="89">
        <v>4.6500000000000004</v>
      </c>
      <c r="X21" s="89">
        <v>4.6500000000000004</v>
      </c>
      <c r="Y21" s="89">
        <v>4.6500000000000004</v>
      </c>
      <c r="AA21" s="89" t="s">
        <v>80</v>
      </c>
      <c r="AB21" s="89">
        <v>5.45</v>
      </c>
      <c r="AC21" s="89">
        <v>6</v>
      </c>
      <c r="AD21" s="89">
        <v>5.75</v>
      </c>
      <c r="AE21" s="89">
        <v>6.3</v>
      </c>
      <c r="AF21" s="89">
        <v>5.9</v>
      </c>
      <c r="AG21" s="89">
        <v>5.64</v>
      </c>
      <c r="AH21" s="89">
        <v>5.25</v>
      </c>
      <c r="AI21" s="89">
        <v>5.65</v>
      </c>
      <c r="AK21" s="89" t="s">
        <v>80</v>
      </c>
      <c r="AL21" s="89">
        <v>4.9000000000000004</v>
      </c>
      <c r="AM21" s="89">
        <v>4.9000000000000004</v>
      </c>
      <c r="AN21" s="89">
        <v>5.55</v>
      </c>
      <c r="AO21" s="89">
        <v>5.8</v>
      </c>
      <c r="AP21" s="89">
        <v>5.65</v>
      </c>
      <c r="AQ21" s="89">
        <v>5.9</v>
      </c>
      <c r="AR21" s="89">
        <v>5.5</v>
      </c>
      <c r="AS21" s="89">
        <v>5.8</v>
      </c>
      <c r="AU21" s="89" t="s">
        <v>80</v>
      </c>
      <c r="AV21" s="89">
        <v>6.7</v>
      </c>
      <c r="AW21" s="89">
        <v>7.15</v>
      </c>
      <c r="AX21" s="89">
        <v>6.65</v>
      </c>
      <c r="AY21" s="89">
        <v>7.65</v>
      </c>
      <c r="AZ21" s="89">
        <v>6.9</v>
      </c>
      <c r="BA21" s="89">
        <v>7.55</v>
      </c>
      <c r="BB21" s="89">
        <v>7</v>
      </c>
      <c r="BC21" s="89">
        <v>7.95</v>
      </c>
      <c r="BE21" s="89" t="s">
        <v>80</v>
      </c>
      <c r="BF21" s="89">
        <v>5.7</v>
      </c>
      <c r="BG21" s="89">
        <v>5.9</v>
      </c>
      <c r="BH21" s="89">
        <v>5.65</v>
      </c>
      <c r="BI21" s="89">
        <v>5.9</v>
      </c>
      <c r="BJ21" s="89">
        <v>5.6</v>
      </c>
      <c r="BK21" s="89">
        <v>5.75</v>
      </c>
      <c r="BL21" s="89">
        <v>5.5</v>
      </c>
      <c r="BM21" s="89">
        <v>5.6</v>
      </c>
    </row>
    <row r="22" spans="7:65" hidden="1" x14ac:dyDescent="0.2">
      <c r="G22" s="89" t="s">
        <v>38</v>
      </c>
      <c r="H22" s="89">
        <v>4.45</v>
      </c>
      <c r="I22" s="89">
        <v>4.45</v>
      </c>
      <c r="J22" s="89">
        <v>4.6500000000000004</v>
      </c>
      <c r="K22" s="89">
        <v>4.6500000000000004</v>
      </c>
      <c r="L22" s="89">
        <v>4.9000000000000004</v>
      </c>
      <c r="M22" s="89">
        <v>4.9000000000000004</v>
      </c>
      <c r="N22" s="89">
        <v>5.0999999999999996</v>
      </c>
      <c r="O22" s="89">
        <v>5.15</v>
      </c>
      <c r="Q22" s="89" t="s">
        <v>38</v>
      </c>
      <c r="R22" s="89">
        <v>3.8</v>
      </c>
      <c r="S22" s="89">
        <v>3.8</v>
      </c>
      <c r="T22" s="89">
        <v>4.05</v>
      </c>
      <c r="U22" s="89">
        <v>4.05</v>
      </c>
      <c r="V22" s="89">
        <v>4.25</v>
      </c>
      <c r="W22" s="89">
        <v>4.25</v>
      </c>
      <c r="X22" s="89">
        <v>4.45</v>
      </c>
      <c r="Y22" s="89">
        <v>4.45</v>
      </c>
      <c r="AA22" s="89" t="s">
        <v>38</v>
      </c>
      <c r="AB22" s="89">
        <v>5.25</v>
      </c>
      <c r="AC22" s="89">
        <v>5.75</v>
      </c>
      <c r="AD22" s="89">
        <v>5.55</v>
      </c>
      <c r="AE22" s="89">
        <v>6.1</v>
      </c>
      <c r="AF22" s="89">
        <v>5.7</v>
      </c>
      <c r="AG22" s="89">
        <v>6.25</v>
      </c>
      <c r="AH22" s="89">
        <v>5.05</v>
      </c>
      <c r="AI22" s="89">
        <v>6.45</v>
      </c>
      <c r="AK22" s="89" t="s">
        <v>38</v>
      </c>
      <c r="AL22" s="89">
        <v>4.7</v>
      </c>
      <c r="AM22" s="89">
        <v>4.7</v>
      </c>
      <c r="AN22" s="89">
        <v>5.25</v>
      </c>
      <c r="AO22" s="89">
        <v>5.55</v>
      </c>
      <c r="AP22" s="89">
        <v>5.3</v>
      </c>
      <c r="AQ22" s="89">
        <v>5.6</v>
      </c>
      <c r="AR22" s="89">
        <v>5.3</v>
      </c>
      <c r="AS22" s="89">
        <v>5.6</v>
      </c>
      <c r="AU22" s="89" t="s">
        <v>38</v>
      </c>
      <c r="AV22" s="89">
        <v>6.3</v>
      </c>
      <c r="AW22" s="89">
        <v>6.95</v>
      </c>
      <c r="AX22" s="89">
        <v>6.45</v>
      </c>
      <c r="AY22" s="89">
        <v>7.15</v>
      </c>
      <c r="AZ22" s="89">
        <v>6.6</v>
      </c>
      <c r="BA22" s="89">
        <v>7.25</v>
      </c>
      <c r="BB22" s="89">
        <v>6.7</v>
      </c>
      <c r="BC22" s="89">
        <v>7.45</v>
      </c>
      <c r="BE22" s="89" t="s">
        <v>38</v>
      </c>
      <c r="BF22" s="89">
        <v>5.5</v>
      </c>
      <c r="BG22" s="89">
        <v>5.8</v>
      </c>
      <c r="BH22" s="89">
        <v>5.45</v>
      </c>
      <c r="BI22" s="89">
        <v>5.75</v>
      </c>
      <c r="BJ22" s="89">
        <v>5.4</v>
      </c>
      <c r="BK22" s="89">
        <v>5.65</v>
      </c>
      <c r="BL22" s="89">
        <v>5.3</v>
      </c>
      <c r="BM22" s="89">
        <v>5.6</v>
      </c>
    </row>
    <row r="23" spans="7:65" hidden="1" x14ac:dyDescent="0.2">
      <c r="G23" s="89" t="s">
        <v>39</v>
      </c>
      <c r="H23" s="89">
        <v>3.9</v>
      </c>
      <c r="I23" s="89">
        <v>3.9</v>
      </c>
      <c r="J23" s="89">
        <v>4.1500000000000004</v>
      </c>
      <c r="K23" s="89">
        <v>4.1500000000000004</v>
      </c>
      <c r="L23" s="89">
        <v>4.3499999999999996</v>
      </c>
      <c r="M23" s="89">
        <v>4.3499999999999996</v>
      </c>
      <c r="N23" s="89">
        <v>4.55</v>
      </c>
      <c r="O23" s="89">
        <v>4.55</v>
      </c>
      <c r="Q23" s="89" t="s">
        <v>39</v>
      </c>
      <c r="R23" s="89">
        <v>3.35</v>
      </c>
      <c r="S23" s="89">
        <v>3.35</v>
      </c>
      <c r="T23" s="89">
        <v>3.55</v>
      </c>
      <c r="U23" s="89">
        <v>3.55</v>
      </c>
      <c r="V23" s="89">
        <v>3.75</v>
      </c>
      <c r="W23" s="89">
        <v>3.75</v>
      </c>
      <c r="X23" s="89">
        <v>4</v>
      </c>
      <c r="Y23" s="89">
        <v>4</v>
      </c>
      <c r="AA23" s="89" t="s">
        <v>39</v>
      </c>
      <c r="AB23" s="89">
        <v>4.95</v>
      </c>
      <c r="AC23" s="89">
        <v>5.45</v>
      </c>
      <c r="AD23" s="89">
        <v>5.25</v>
      </c>
      <c r="AE23" s="89">
        <v>5.8</v>
      </c>
      <c r="AF23" s="89">
        <v>5.4</v>
      </c>
      <c r="AG23" s="89">
        <v>6</v>
      </c>
      <c r="AH23" s="89">
        <v>5.55</v>
      </c>
      <c r="AI23" s="89">
        <v>6.15</v>
      </c>
      <c r="AK23" s="89" t="s">
        <v>39</v>
      </c>
      <c r="AL23" s="89">
        <v>4.1500000000000004</v>
      </c>
      <c r="AM23" s="89">
        <v>4.1500000000000004</v>
      </c>
      <c r="AN23" s="89">
        <v>5</v>
      </c>
      <c r="AO23" s="89">
        <v>5.3</v>
      </c>
      <c r="AP23" s="89">
        <v>5.05</v>
      </c>
      <c r="AQ23" s="89">
        <v>5.35</v>
      </c>
      <c r="AR23" s="89">
        <v>5.05</v>
      </c>
      <c r="AS23" s="89">
        <v>5.35</v>
      </c>
      <c r="AU23" s="89" t="s">
        <v>39</v>
      </c>
      <c r="AV23" s="89">
        <v>6</v>
      </c>
      <c r="AW23" s="89">
        <v>6.62</v>
      </c>
      <c r="AX23" s="89">
        <v>6.15</v>
      </c>
      <c r="AY23" s="89">
        <v>6.8</v>
      </c>
      <c r="AZ23" s="89">
        <v>6.25</v>
      </c>
      <c r="BA23" s="89">
        <v>6.95</v>
      </c>
      <c r="BB23" s="89">
        <v>6.4</v>
      </c>
      <c r="BC23" s="89">
        <v>7.1</v>
      </c>
      <c r="BE23" s="89" t="s">
        <v>39</v>
      </c>
      <c r="BF23" s="89">
        <v>5.3</v>
      </c>
      <c r="BG23" s="89">
        <v>5.6</v>
      </c>
      <c r="BH23" s="89">
        <v>5.25</v>
      </c>
      <c r="BI23" s="89">
        <v>5.5</v>
      </c>
      <c r="BJ23" s="89">
        <v>5.2</v>
      </c>
      <c r="BK23" s="89">
        <v>5.5</v>
      </c>
      <c r="BL23" s="89">
        <v>5.15</v>
      </c>
      <c r="BM23" s="89">
        <v>5.4</v>
      </c>
    </row>
    <row r="24" spans="7:65" s="84" customFormat="1" hidden="1" x14ac:dyDescent="0.2">
      <c r="G24" s="84" t="s">
        <v>162</v>
      </c>
      <c r="H24" s="84">
        <v>5.75</v>
      </c>
      <c r="I24" s="84">
        <v>6</v>
      </c>
      <c r="J24" s="84">
        <v>5.9</v>
      </c>
      <c r="K24" s="84">
        <v>6.2</v>
      </c>
      <c r="L24" s="84">
        <v>6.1</v>
      </c>
      <c r="M24" s="84">
        <v>6.4</v>
      </c>
      <c r="N24" s="84">
        <v>6.25</v>
      </c>
      <c r="O24" s="84">
        <v>6.6</v>
      </c>
      <c r="Q24" s="84" t="s">
        <v>162</v>
      </c>
      <c r="R24" s="84">
        <v>5.3</v>
      </c>
      <c r="S24" s="84">
        <v>5.45</v>
      </c>
      <c r="T24" s="84">
        <v>5.2</v>
      </c>
      <c r="U24" s="84">
        <v>5.25</v>
      </c>
      <c r="V24" s="84">
        <v>5</v>
      </c>
      <c r="W24" s="84">
        <v>5.0999999999999996</v>
      </c>
      <c r="X24" s="84">
        <v>4.9000000000000004</v>
      </c>
      <c r="Y24" s="84">
        <v>4.95</v>
      </c>
      <c r="AA24" s="84" t="s">
        <v>162</v>
      </c>
      <c r="AB24" s="84">
        <v>6.55</v>
      </c>
      <c r="AC24" s="84">
        <v>6.85</v>
      </c>
      <c r="AD24" s="84">
        <v>6.9</v>
      </c>
      <c r="AE24" s="84">
        <v>7.3</v>
      </c>
      <c r="AF24" s="84">
        <v>7</v>
      </c>
      <c r="AG24" s="84">
        <v>7.4</v>
      </c>
      <c r="AH24" s="84">
        <v>7.15</v>
      </c>
      <c r="AI24" s="84">
        <v>7.6</v>
      </c>
      <c r="AK24" s="84" t="s">
        <v>162</v>
      </c>
      <c r="AL24" s="84">
        <v>5.2</v>
      </c>
      <c r="AM24" s="84">
        <v>5.2</v>
      </c>
      <c r="AN24" s="84">
        <v>5.9</v>
      </c>
      <c r="AO24" s="84">
        <v>6.2</v>
      </c>
      <c r="AP24" s="84">
        <v>5.95</v>
      </c>
      <c r="AQ24" s="84">
        <v>6.15</v>
      </c>
      <c r="AR24" s="84">
        <v>5.9</v>
      </c>
      <c r="AS24" s="84">
        <v>6</v>
      </c>
      <c r="AU24" s="84" t="s">
        <v>162</v>
      </c>
      <c r="AV24" s="84">
        <v>7.7</v>
      </c>
      <c r="AW24" s="84">
        <v>8.15</v>
      </c>
      <c r="AX24" s="84">
        <v>7.85</v>
      </c>
      <c r="AY24" s="84">
        <v>8.3000000000000007</v>
      </c>
      <c r="AZ24" s="84">
        <v>7.95</v>
      </c>
      <c r="BA24" s="84">
        <v>8.4499999999999993</v>
      </c>
      <c r="BB24" s="84">
        <v>8.0500000000000007</v>
      </c>
      <c r="BC24" s="84">
        <v>8.6</v>
      </c>
      <c r="BE24" s="84" t="s">
        <v>162</v>
      </c>
      <c r="BF24" s="84">
        <v>6.05</v>
      </c>
      <c r="BG24" s="84">
        <v>6.05</v>
      </c>
      <c r="BH24" s="84">
        <v>5.9</v>
      </c>
      <c r="BI24" s="84">
        <v>5.9</v>
      </c>
      <c r="BJ24" s="84">
        <v>5.75</v>
      </c>
      <c r="BK24" s="84">
        <v>5.75</v>
      </c>
      <c r="BL24" s="84">
        <v>5.6</v>
      </c>
      <c r="BM24" s="84">
        <v>5.6</v>
      </c>
    </row>
    <row r="25" spans="7:65" hidden="1" x14ac:dyDescent="0.2">
      <c r="G25" s="89" t="s">
        <v>40</v>
      </c>
      <c r="H25" s="89">
        <v>4.45</v>
      </c>
      <c r="I25" s="89">
        <v>5.7</v>
      </c>
      <c r="J25" s="89">
        <v>5.6</v>
      </c>
      <c r="K25" s="89">
        <v>5.95</v>
      </c>
      <c r="L25" s="89">
        <v>5.2</v>
      </c>
      <c r="M25" s="89">
        <v>6.15</v>
      </c>
      <c r="N25" s="89">
        <v>6</v>
      </c>
      <c r="O25" s="89">
        <v>6.35</v>
      </c>
      <c r="Q25" s="89" t="s">
        <v>40</v>
      </c>
      <c r="R25" s="89">
        <v>5.15</v>
      </c>
      <c r="S25" s="89">
        <v>5.15</v>
      </c>
      <c r="T25" s="89">
        <v>5.05</v>
      </c>
      <c r="U25" s="89">
        <v>5.25</v>
      </c>
      <c r="V25" s="89">
        <v>5</v>
      </c>
      <c r="W25" s="89">
        <v>5.0999999999999996</v>
      </c>
      <c r="X25" s="89">
        <v>4.9000000000000004</v>
      </c>
      <c r="Y25" s="89">
        <v>4.95</v>
      </c>
      <c r="AA25" s="89" t="s">
        <v>40</v>
      </c>
      <c r="AB25" s="89">
        <v>6.2</v>
      </c>
      <c r="AC25" s="89">
        <v>6.55</v>
      </c>
      <c r="AD25" s="89">
        <v>6.35</v>
      </c>
      <c r="AE25" s="89">
        <v>7</v>
      </c>
      <c r="AF25" s="89">
        <v>6.7</v>
      </c>
      <c r="AG25" s="89">
        <v>7.1</v>
      </c>
      <c r="AH25" s="89">
        <v>6.85</v>
      </c>
      <c r="AI25" s="89">
        <v>7.3</v>
      </c>
      <c r="AK25" s="89" t="s">
        <v>40</v>
      </c>
      <c r="AL25" s="89">
        <v>5.05</v>
      </c>
      <c r="AM25" s="89">
        <v>5.2</v>
      </c>
      <c r="AN25" s="89">
        <v>5.75</v>
      </c>
      <c r="AO25" s="89">
        <v>6.1</v>
      </c>
      <c r="AP25" s="89">
        <v>5.95</v>
      </c>
      <c r="AQ25" s="89">
        <v>6.15</v>
      </c>
      <c r="AR25" s="89">
        <v>5.9</v>
      </c>
      <c r="AS25" s="89">
        <v>6</v>
      </c>
      <c r="AU25" s="89" t="s">
        <v>40</v>
      </c>
      <c r="AV25" s="89">
        <v>7.35</v>
      </c>
      <c r="AW25" s="89">
        <v>7.85</v>
      </c>
      <c r="AX25" s="89">
        <v>7.55</v>
      </c>
      <c r="AY25" s="89">
        <v>8.0500000000000007</v>
      </c>
      <c r="AZ25" s="89">
        <v>7.65</v>
      </c>
      <c r="BA25" s="89">
        <v>8.15</v>
      </c>
      <c r="BB25" s="89">
        <v>7.75</v>
      </c>
      <c r="BC25" s="89">
        <v>8.3000000000000007</v>
      </c>
      <c r="BE25" s="89" t="s">
        <v>40</v>
      </c>
      <c r="BF25" s="89">
        <v>6.05</v>
      </c>
      <c r="BG25" s="89">
        <v>6.05</v>
      </c>
      <c r="BH25" s="89">
        <v>5.9</v>
      </c>
      <c r="BI25" s="89">
        <v>5.9</v>
      </c>
      <c r="BJ25" s="89">
        <v>5.75</v>
      </c>
      <c r="BK25" s="89">
        <v>5.75</v>
      </c>
      <c r="BL25" s="89">
        <v>5.6</v>
      </c>
      <c r="BM25" s="89">
        <v>5.6</v>
      </c>
    </row>
    <row r="26" spans="7:65" hidden="1" x14ac:dyDescent="0.2">
      <c r="G26" s="89" t="s">
        <v>41</v>
      </c>
      <c r="H26" s="89">
        <v>5.2</v>
      </c>
      <c r="I26" s="89">
        <v>5.7</v>
      </c>
      <c r="J26" s="89">
        <v>5.4</v>
      </c>
      <c r="K26" s="89">
        <v>5.7</v>
      </c>
      <c r="L26" s="89">
        <v>5.55</v>
      </c>
      <c r="M26" s="89">
        <v>5.9</v>
      </c>
      <c r="N26" s="89">
        <v>5.75</v>
      </c>
      <c r="O26" s="89">
        <v>6.15</v>
      </c>
      <c r="Q26" s="89" t="s">
        <v>41</v>
      </c>
      <c r="R26" s="89">
        <v>4.7</v>
      </c>
      <c r="S26" s="89">
        <v>4.7</v>
      </c>
      <c r="T26" s="89">
        <v>4.9000000000000004</v>
      </c>
      <c r="U26" s="89">
        <v>4.97</v>
      </c>
      <c r="V26" s="89">
        <v>4.8499999999999996</v>
      </c>
      <c r="W26" s="89">
        <v>5.0999999999999996</v>
      </c>
      <c r="X26" s="89">
        <v>4.75</v>
      </c>
      <c r="Y26" s="89">
        <v>4.95</v>
      </c>
      <c r="AA26" s="89" t="s">
        <v>41</v>
      </c>
      <c r="AB26" s="89">
        <v>5.95</v>
      </c>
      <c r="AC26" s="89">
        <v>6.3</v>
      </c>
      <c r="AD26" s="89">
        <v>6.3</v>
      </c>
      <c r="AE26" s="89">
        <v>6.7</v>
      </c>
      <c r="AF26" s="89">
        <v>6.4</v>
      </c>
      <c r="AG26" s="89">
        <v>6.85</v>
      </c>
      <c r="AH26" s="89">
        <v>6.55</v>
      </c>
      <c r="AI26" s="89">
        <v>7.05</v>
      </c>
      <c r="AK26" s="89" t="s">
        <v>41</v>
      </c>
      <c r="AL26" s="89">
        <v>4.9000000000000004</v>
      </c>
      <c r="AM26" s="89">
        <v>5.2</v>
      </c>
      <c r="AN26" s="89">
        <v>5.6</v>
      </c>
      <c r="AO26" s="89">
        <v>5.9</v>
      </c>
      <c r="AP26" s="89">
        <v>5.65</v>
      </c>
      <c r="AQ26" s="89">
        <v>6</v>
      </c>
      <c r="AR26" s="89">
        <v>5.6</v>
      </c>
      <c r="AS26" s="89">
        <v>5.9</v>
      </c>
      <c r="AU26" s="89" t="s">
        <v>41</v>
      </c>
      <c r="AV26" s="89">
        <v>7.05</v>
      </c>
      <c r="AW26" s="89">
        <v>7.55</v>
      </c>
      <c r="AX26" s="89">
        <v>7.25</v>
      </c>
      <c r="AY26" s="89">
        <v>7.8</v>
      </c>
      <c r="AZ26" s="89">
        <v>7.35</v>
      </c>
      <c r="BA26" s="89">
        <v>7.9</v>
      </c>
      <c r="BB26" s="89">
        <v>7.5</v>
      </c>
      <c r="BC26" s="89">
        <v>8.0500000000000007</v>
      </c>
      <c r="BE26" s="89" t="s">
        <v>41</v>
      </c>
      <c r="BF26" s="89">
        <v>6.05</v>
      </c>
      <c r="BG26" s="89">
        <v>6.05</v>
      </c>
      <c r="BH26" s="89">
        <v>5.9</v>
      </c>
      <c r="BI26" s="89">
        <v>5.9</v>
      </c>
      <c r="BJ26" s="89">
        <v>5.75</v>
      </c>
      <c r="BK26" s="89">
        <v>5.75</v>
      </c>
      <c r="BL26" s="89">
        <v>5.6</v>
      </c>
      <c r="BM26" s="89">
        <v>5.6</v>
      </c>
    </row>
    <row r="27" spans="7:65" hidden="1" x14ac:dyDescent="0.2">
      <c r="G27" s="89" t="s">
        <v>42</v>
      </c>
      <c r="H27" s="89">
        <v>5</v>
      </c>
      <c r="I27" s="89">
        <v>5.05</v>
      </c>
      <c r="J27" s="89">
        <v>5.2</v>
      </c>
      <c r="K27" s="89">
        <v>5.3</v>
      </c>
      <c r="L27" s="89">
        <v>5.4</v>
      </c>
      <c r="M27" s="89">
        <v>5.5</v>
      </c>
      <c r="N27" s="89">
        <v>5.55</v>
      </c>
      <c r="O27" s="89">
        <v>5.75</v>
      </c>
      <c r="Q27" s="89" t="s">
        <v>42</v>
      </c>
      <c r="R27" s="89">
        <v>4.3499999999999996</v>
      </c>
      <c r="S27" s="89">
        <v>4.3499999999999996</v>
      </c>
      <c r="T27" s="89">
        <v>4.5999999999999996</v>
      </c>
      <c r="U27" s="89">
        <v>4.5999999999999996</v>
      </c>
      <c r="V27" s="89">
        <v>4.7</v>
      </c>
      <c r="W27" s="89">
        <v>4.8</v>
      </c>
      <c r="X27" s="89">
        <v>4.6500000000000004</v>
      </c>
      <c r="Y27" s="89">
        <v>4.9000000000000004</v>
      </c>
      <c r="AA27" s="89" t="s">
        <v>42</v>
      </c>
      <c r="AB27" s="89">
        <v>5.7</v>
      </c>
      <c r="AC27" s="89">
        <v>6.1</v>
      </c>
      <c r="AD27" s="89">
        <v>5.9</v>
      </c>
      <c r="AE27" s="89">
        <v>6.5</v>
      </c>
      <c r="AF27" s="89">
        <v>6.2</v>
      </c>
      <c r="AG27" s="89">
        <v>6.65</v>
      </c>
      <c r="AH27" s="89">
        <v>6.35</v>
      </c>
      <c r="AI27" s="89">
        <v>6.8</v>
      </c>
      <c r="AK27" s="89" t="s">
        <v>42</v>
      </c>
      <c r="AL27" s="89">
        <v>4.8</v>
      </c>
      <c r="AM27" s="89">
        <v>5.05</v>
      </c>
      <c r="AN27" s="89">
        <v>5.45</v>
      </c>
      <c r="AO27" s="89">
        <v>5.8</v>
      </c>
      <c r="AP27" s="89">
        <v>5.65</v>
      </c>
      <c r="AQ27" s="89">
        <v>5.95</v>
      </c>
      <c r="AR27" s="89">
        <v>5.6</v>
      </c>
      <c r="AS27" s="89">
        <v>5.9</v>
      </c>
      <c r="AU27" s="89" t="s">
        <v>42</v>
      </c>
      <c r="AV27" s="89">
        <v>6.8</v>
      </c>
      <c r="AW27" s="89">
        <v>7.3</v>
      </c>
      <c r="AX27" s="89">
        <v>7</v>
      </c>
      <c r="AY27" s="89">
        <v>7.55</v>
      </c>
      <c r="AZ27" s="89">
        <v>7.1</v>
      </c>
      <c r="BA27" s="89">
        <v>7.65</v>
      </c>
      <c r="BB27" s="89">
        <v>7.25</v>
      </c>
      <c r="BC27" s="89">
        <v>7.8</v>
      </c>
      <c r="BE27" s="89" t="s">
        <v>42</v>
      </c>
      <c r="BF27" s="89">
        <v>6.05</v>
      </c>
      <c r="BG27" s="89">
        <v>6.05</v>
      </c>
      <c r="BH27" s="89">
        <v>5.75</v>
      </c>
      <c r="BI27" s="89">
        <v>5.9</v>
      </c>
      <c r="BJ27" s="89">
        <v>5.75</v>
      </c>
      <c r="BK27" s="89">
        <v>5.75</v>
      </c>
      <c r="BL27" s="89">
        <v>5.6</v>
      </c>
      <c r="BM27" s="89">
        <v>5.6</v>
      </c>
    </row>
    <row r="28" spans="7:65" hidden="1" x14ac:dyDescent="0.2">
      <c r="G28" s="89" t="s">
        <v>43</v>
      </c>
      <c r="H28" s="89">
        <v>4.7</v>
      </c>
      <c r="I28" s="89">
        <v>4.7</v>
      </c>
      <c r="J28" s="89">
        <v>4.9000000000000004</v>
      </c>
      <c r="K28" s="89">
        <v>4.9000000000000004</v>
      </c>
      <c r="L28" s="89">
        <v>4.9000000000000004</v>
      </c>
      <c r="M28" s="89">
        <v>5.15</v>
      </c>
      <c r="N28" s="89">
        <v>5.35</v>
      </c>
      <c r="O28" s="89">
        <v>5.4</v>
      </c>
      <c r="Q28" s="89" t="s">
        <v>43</v>
      </c>
      <c r="R28" s="89">
        <v>4.05</v>
      </c>
      <c r="S28" s="89">
        <v>4.05</v>
      </c>
      <c r="T28" s="89">
        <v>4.25</v>
      </c>
      <c r="U28" s="89">
        <v>4.25</v>
      </c>
      <c r="V28" s="89">
        <v>4.5</v>
      </c>
      <c r="W28" s="89">
        <v>4.5</v>
      </c>
      <c r="X28" s="89">
        <v>4.55</v>
      </c>
      <c r="Y28" s="89">
        <v>4.7</v>
      </c>
      <c r="AA28" s="89" t="s">
        <v>43</v>
      </c>
      <c r="AB28" s="89">
        <v>5.5</v>
      </c>
      <c r="AC28" s="89">
        <v>5.9</v>
      </c>
      <c r="AD28" s="89">
        <v>5.85</v>
      </c>
      <c r="AE28" s="89">
        <v>6.3</v>
      </c>
      <c r="AF28" s="89">
        <v>6</v>
      </c>
      <c r="AG28" s="89">
        <v>6.45</v>
      </c>
      <c r="AH28" s="89">
        <v>6.15</v>
      </c>
      <c r="AI28" s="89">
        <v>6.6</v>
      </c>
      <c r="AK28" s="89" t="s">
        <v>43</v>
      </c>
      <c r="AL28" s="89">
        <v>4.7</v>
      </c>
      <c r="AM28" s="89">
        <v>4.95</v>
      </c>
      <c r="AN28" s="89">
        <v>5.3</v>
      </c>
      <c r="AO28" s="89">
        <v>5.6</v>
      </c>
      <c r="AP28" s="89">
        <v>5.5</v>
      </c>
      <c r="AQ28" s="89">
        <v>5.8</v>
      </c>
      <c r="AR28" s="89">
        <v>5.45</v>
      </c>
      <c r="AS28" s="89">
        <v>5.75</v>
      </c>
      <c r="AU28" s="89" t="s">
        <v>43</v>
      </c>
      <c r="AV28" s="89">
        <v>6.6</v>
      </c>
      <c r="AW28" s="89">
        <v>7.1</v>
      </c>
      <c r="AX28" s="89">
        <v>6.8</v>
      </c>
      <c r="AY28" s="89">
        <v>7.3</v>
      </c>
      <c r="AZ28" s="89">
        <v>6.9</v>
      </c>
      <c r="BA28" s="89">
        <v>7.45</v>
      </c>
      <c r="BB28" s="89">
        <v>7.05</v>
      </c>
      <c r="BC28" s="89">
        <v>7.6</v>
      </c>
      <c r="BE28" s="89" t="s">
        <v>43</v>
      </c>
      <c r="BF28" s="89">
        <v>6.05</v>
      </c>
      <c r="BG28" s="89">
        <v>6.05</v>
      </c>
      <c r="BH28" s="89">
        <v>5.65</v>
      </c>
      <c r="BI28" s="89">
        <v>5.9</v>
      </c>
      <c r="BJ28" s="89">
        <v>5.6</v>
      </c>
      <c r="BK28" s="89">
        <v>5.75</v>
      </c>
      <c r="BL28" s="89">
        <v>5.5</v>
      </c>
      <c r="BM28" s="89">
        <v>5.6</v>
      </c>
    </row>
    <row r="29" spans="7:65" hidden="1" x14ac:dyDescent="0.2">
      <c r="G29" s="89" t="s">
        <v>81</v>
      </c>
      <c r="H29" s="89">
        <v>4</v>
      </c>
      <c r="I29" s="89">
        <v>4</v>
      </c>
      <c r="J29" s="89">
        <v>4.25</v>
      </c>
      <c r="K29" s="89">
        <v>4.25</v>
      </c>
      <c r="L29" s="89">
        <v>4.5</v>
      </c>
      <c r="M29" s="89">
        <v>4.5</v>
      </c>
      <c r="N29" s="89">
        <v>4.7</v>
      </c>
      <c r="O29" s="89">
        <v>4.7</v>
      </c>
      <c r="Q29" s="89" t="s">
        <v>81</v>
      </c>
      <c r="R29" s="89">
        <v>3.55</v>
      </c>
      <c r="S29" s="89">
        <v>3.55</v>
      </c>
      <c r="T29" s="89">
        <v>3.8</v>
      </c>
      <c r="U29" s="89">
        <v>3.8</v>
      </c>
      <c r="V29" s="89">
        <v>3.95</v>
      </c>
      <c r="W29" s="89">
        <v>3.95</v>
      </c>
      <c r="X29" s="89">
        <v>4.1500000000000004</v>
      </c>
      <c r="Y29" s="89">
        <v>4.1500000000000004</v>
      </c>
      <c r="AA29" s="89" t="s">
        <v>81</v>
      </c>
      <c r="AB29" s="89">
        <v>5.25</v>
      </c>
      <c r="AC29" s="89">
        <v>5.65</v>
      </c>
      <c r="AD29" s="89">
        <v>5.4</v>
      </c>
      <c r="AE29" s="89">
        <v>6</v>
      </c>
      <c r="AF29" s="89">
        <v>5.7</v>
      </c>
      <c r="AG29" s="89">
        <v>6.05</v>
      </c>
      <c r="AH29" s="89">
        <v>5.85</v>
      </c>
      <c r="AI29" s="89">
        <v>6.35</v>
      </c>
      <c r="AK29" s="89" t="s">
        <v>81</v>
      </c>
      <c r="AL29" s="89">
        <v>4.5999999999999996</v>
      </c>
      <c r="AM29" s="89">
        <v>4.7</v>
      </c>
      <c r="AN29" s="89">
        <v>5.25</v>
      </c>
      <c r="AO29" s="89">
        <v>5.55</v>
      </c>
      <c r="AP29" s="89">
        <v>5.35</v>
      </c>
      <c r="AQ29" s="89">
        <v>5.6</v>
      </c>
      <c r="AR29" s="89">
        <v>5.35</v>
      </c>
      <c r="AS29" s="89">
        <v>5.6</v>
      </c>
      <c r="AU29" s="89" t="s">
        <v>81</v>
      </c>
      <c r="AV29" s="89">
        <v>6.4</v>
      </c>
      <c r="AW29" s="89">
        <v>6.85</v>
      </c>
      <c r="AX29" s="89">
        <v>6.65</v>
      </c>
      <c r="AY29" s="89">
        <v>7</v>
      </c>
      <c r="AZ29" s="89">
        <v>6.65</v>
      </c>
      <c r="BA29" s="89">
        <v>7.15</v>
      </c>
      <c r="BB29" s="89">
        <v>6.9</v>
      </c>
      <c r="BC29" s="89">
        <v>7.4</v>
      </c>
      <c r="BE29" s="89" t="s">
        <v>81</v>
      </c>
      <c r="BF29" s="89">
        <v>5.7</v>
      </c>
      <c r="BG29" s="89">
        <v>5.85</v>
      </c>
      <c r="BH29" s="89">
        <v>5.55</v>
      </c>
      <c r="BI29" s="89">
        <v>5.85</v>
      </c>
      <c r="BJ29" s="89">
        <v>5.5</v>
      </c>
      <c r="BK29" s="89">
        <v>5.75</v>
      </c>
      <c r="BL29" s="89">
        <v>5.45</v>
      </c>
      <c r="BM29" s="89">
        <v>5.6</v>
      </c>
    </row>
    <row r="30" spans="7:65" hidden="1" x14ac:dyDescent="0.2">
      <c r="G30" s="89" t="s">
        <v>44</v>
      </c>
      <c r="H30" s="89">
        <v>3.85</v>
      </c>
      <c r="I30" s="89">
        <v>3.85</v>
      </c>
      <c r="J30" s="89">
        <v>4.05</v>
      </c>
      <c r="K30" s="89">
        <v>4.05</v>
      </c>
      <c r="L30" s="89">
        <v>4.3</v>
      </c>
      <c r="M30" s="89">
        <v>4.3</v>
      </c>
      <c r="N30" s="89">
        <v>4.5</v>
      </c>
      <c r="O30" s="89">
        <v>4.5</v>
      </c>
      <c r="Q30" s="89" t="s">
        <v>44</v>
      </c>
      <c r="R30" s="89">
        <v>3.3</v>
      </c>
      <c r="S30" s="89">
        <v>3.3</v>
      </c>
      <c r="T30" s="89">
        <v>3.5</v>
      </c>
      <c r="U30" s="89">
        <v>3.5</v>
      </c>
      <c r="V30" s="89">
        <v>3.75</v>
      </c>
      <c r="W30" s="89">
        <v>3.75</v>
      </c>
      <c r="X30" s="89">
        <v>3.95</v>
      </c>
      <c r="Y30" s="89">
        <v>3.95</v>
      </c>
      <c r="AA30" s="89" t="s">
        <v>44</v>
      </c>
      <c r="AB30" s="89">
        <v>5.05</v>
      </c>
      <c r="AC30" s="89">
        <v>5.45</v>
      </c>
      <c r="AD30" s="89">
        <v>5.2</v>
      </c>
      <c r="AE30" s="89">
        <v>5.8</v>
      </c>
      <c r="AF30" s="89">
        <v>5.5</v>
      </c>
      <c r="AG30" s="89">
        <v>5.95</v>
      </c>
      <c r="AH30" s="89">
        <v>5.65</v>
      </c>
      <c r="AI30" s="89">
        <v>6.15</v>
      </c>
      <c r="AK30" s="89" t="s">
        <v>44</v>
      </c>
      <c r="AL30" s="89">
        <v>4.0999999999999996</v>
      </c>
      <c r="AM30" s="89">
        <v>4.0999999999999996</v>
      </c>
      <c r="AN30" s="89">
        <v>5.05</v>
      </c>
      <c r="AO30" s="89">
        <v>5.35</v>
      </c>
      <c r="AP30" s="89">
        <v>5.15</v>
      </c>
      <c r="AQ30" s="89">
        <v>5.4</v>
      </c>
      <c r="AR30" s="89">
        <v>5.15</v>
      </c>
      <c r="AS30" s="89">
        <v>5.4</v>
      </c>
      <c r="AU30" s="89" t="s">
        <v>44</v>
      </c>
      <c r="AV30" s="89">
        <v>6.05</v>
      </c>
      <c r="AW30" s="89">
        <v>6.6</v>
      </c>
      <c r="AX30" s="89">
        <v>6.25</v>
      </c>
      <c r="AY30" s="89">
        <v>6.8</v>
      </c>
      <c r="AZ30" s="89">
        <v>6.35</v>
      </c>
      <c r="BA30" s="89">
        <v>6.95</v>
      </c>
      <c r="BB30" s="89">
        <v>6.5</v>
      </c>
      <c r="BC30" s="89">
        <v>7.1</v>
      </c>
      <c r="BE30" s="89" t="s">
        <v>44</v>
      </c>
      <c r="BF30" s="89">
        <v>5.4</v>
      </c>
      <c r="BG30" s="89">
        <v>5.7</v>
      </c>
      <c r="BH30" s="89">
        <v>5.35</v>
      </c>
      <c r="BI30" s="89">
        <v>5.65</v>
      </c>
      <c r="BJ30" s="89">
        <v>5.3</v>
      </c>
      <c r="BK30" s="89">
        <v>5.6</v>
      </c>
      <c r="BL30" s="89">
        <v>5.25</v>
      </c>
      <c r="BM30" s="89">
        <v>5.55</v>
      </c>
    </row>
    <row r="31" spans="7:65" hidden="1" x14ac:dyDescent="0.2">
      <c r="G31" s="89" t="s">
        <v>67</v>
      </c>
      <c r="H31" s="89">
        <v>2.95</v>
      </c>
      <c r="I31" s="89">
        <v>2.95</v>
      </c>
      <c r="J31" s="89">
        <v>3.15</v>
      </c>
      <c r="K31" s="89">
        <v>3.15</v>
      </c>
      <c r="L31" s="89">
        <v>3.35</v>
      </c>
      <c r="M31" s="89">
        <v>3.35</v>
      </c>
      <c r="N31" s="89">
        <v>3.55</v>
      </c>
      <c r="O31" s="89">
        <v>3.55</v>
      </c>
      <c r="Q31" s="89" t="s">
        <v>67</v>
      </c>
      <c r="R31" s="89">
        <v>2.95</v>
      </c>
      <c r="S31" s="89">
        <v>2.95</v>
      </c>
      <c r="T31" s="89">
        <v>3.15</v>
      </c>
      <c r="U31" s="89">
        <v>3.15</v>
      </c>
      <c r="V31" s="89">
        <v>3.35</v>
      </c>
      <c r="W31" s="89">
        <v>3.35</v>
      </c>
      <c r="X31" s="89">
        <v>3.55</v>
      </c>
      <c r="Y31" s="89">
        <v>3.55</v>
      </c>
      <c r="AA31" s="89" t="s">
        <v>67</v>
      </c>
      <c r="AB31" s="89">
        <v>4.8</v>
      </c>
      <c r="AC31" s="89">
        <v>4.9000000000000004</v>
      </c>
      <c r="AD31" s="89">
        <v>5.0999999999999996</v>
      </c>
      <c r="AE31" s="89">
        <v>5.55</v>
      </c>
      <c r="AF31" s="89">
        <v>5.25</v>
      </c>
      <c r="AG31" s="89">
        <v>5.7</v>
      </c>
      <c r="AH31" s="89">
        <v>5.4</v>
      </c>
      <c r="AI31" s="89">
        <v>5.9</v>
      </c>
      <c r="AK31" s="89" t="s">
        <v>67</v>
      </c>
      <c r="AL31" s="89">
        <v>3.7</v>
      </c>
      <c r="AM31" s="89">
        <v>3.7</v>
      </c>
      <c r="AN31" s="89">
        <v>4.8499999999999996</v>
      </c>
      <c r="AO31" s="89">
        <v>5.0999999999999996</v>
      </c>
      <c r="AP31" s="89">
        <v>4.95</v>
      </c>
      <c r="AQ31" s="89">
        <v>5.2</v>
      </c>
      <c r="AR31" s="89">
        <v>5</v>
      </c>
      <c r="AS31" s="89">
        <v>5.2</v>
      </c>
      <c r="AU31" s="89" t="s">
        <v>67</v>
      </c>
      <c r="AV31" s="89">
        <v>5.8</v>
      </c>
      <c r="AW31" s="89">
        <v>6.3</v>
      </c>
      <c r="AX31" s="89">
        <v>6</v>
      </c>
      <c r="AY31" s="89">
        <v>6.55</v>
      </c>
      <c r="AZ31" s="89">
        <v>6.1</v>
      </c>
      <c r="BA31" s="89">
        <v>6.65</v>
      </c>
      <c r="BB31" s="89">
        <v>6.25</v>
      </c>
      <c r="BC31" s="89">
        <v>6.75</v>
      </c>
      <c r="BE31" s="89" t="s">
        <v>67</v>
      </c>
      <c r="BF31" s="89">
        <v>5.2</v>
      </c>
      <c r="BG31" s="89">
        <v>5.5</v>
      </c>
      <c r="BH31" s="89">
        <v>5.2</v>
      </c>
      <c r="BI31" s="89">
        <v>5.45</v>
      </c>
      <c r="BJ31" s="89">
        <v>5.15</v>
      </c>
      <c r="BK31" s="89">
        <v>5.4</v>
      </c>
      <c r="BL31" s="89">
        <v>5.0999999999999996</v>
      </c>
      <c r="BM31" s="89">
        <v>5.35</v>
      </c>
    </row>
    <row r="32" spans="7:65" hidden="1" x14ac:dyDescent="0.2">
      <c r="G32" s="89" t="s">
        <v>163</v>
      </c>
      <c r="H32" s="89">
        <v>4.9000000000000004</v>
      </c>
      <c r="I32" s="89">
        <v>4.9000000000000004</v>
      </c>
      <c r="J32" s="89">
        <v>5.15</v>
      </c>
      <c r="K32" s="89">
        <v>5.15</v>
      </c>
      <c r="L32" s="89">
        <v>5.4</v>
      </c>
      <c r="M32" s="89">
        <v>5.4</v>
      </c>
      <c r="N32" s="89">
        <v>5.65</v>
      </c>
      <c r="O32" s="89">
        <v>5.65</v>
      </c>
      <c r="Q32" s="89" t="s">
        <v>163</v>
      </c>
      <c r="R32" s="89">
        <v>4.25</v>
      </c>
      <c r="S32" s="89">
        <v>4.25</v>
      </c>
      <c r="T32" s="89">
        <v>4.45</v>
      </c>
      <c r="U32" s="89">
        <v>4.45</v>
      </c>
      <c r="V32" s="89">
        <v>4.7</v>
      </c>
      <c r="W32" s="89">
        <v>4.7</v>
      </c>
      <c r="X32" s="89">
        <v>4.7</v>
      </c>
      <c r="Y32" s="89">
        <v>4.9000000000000004</v>
      </c>
      <c r="AA32" s="89" t="s">
        <v>163</v>
      </c>
      <c r="AB32" s="89">
        <v>5.9</v>
      </c>
      <c r="AC32" s="89">
        <v>6.15</v>
      </c>
      <c r="AD32" s="89">
        <v>6.3</v>
      </c>
      <c r="AE32" s="89">
        <v>6.55</v>
      </c>
      <c r="AF32" s="89">
        <v>6.45</v>
      </c>
      <c r="AG32" s="89">
        <v>6.7</v>
      </c>
      <c r="AH32" s="89">
        <v>6.6</v>
      </c>
      <c r="AI32" s="89">
        <v>6.85</v>
      </c>
      <c r="AK32" s="89" t="s">
        <v>163</v>
      </c>
      <c r="AL32" s="89">
        <v>4.9000000000000004</v>
      </c>
      <c r="AM32" s="89">
        <v>5.2</v>
      </c>
      <c r="AN32" s="89">
        <v>5.65</v>
      </c>
      <c r="AO32" s="89">
        <v>6</v>
      </c>
      <c r="AP32" s="89">
        <v>5.65</v>
      </c>
      <c r="AQ32" s="89">
        <v>5.95</v>
      </c>
      <c r="AR32" s="89">
        <v>5.6</v>
      </c>
      <c r="AS32" s="89">
        <v>5.9</v>
      </c>
      <c r="AU32" s="89" t="s">
        <v>163</v>
      </c>
      <c r="AV32" s="89">
        <v>7.1</v>
      </c>
      <c r="AW32" s="89">
        <v>7.35</v>
      </c>
      <c r="AX32" s="89">
        <v>7.25</v>
      </c>
      <c r="AY32" s="89">
        <v>7.55</v>
      </c>
      <c r="AZ32" s="89">
        <v>7.35</v>
      </c>
      <c r="BA32" s="89">
        <v>7.7</v>
      </c>
      <c r="BB32" s="89">
        <v>7.4</v>
      </c>
      <c r="BC32" s="89">
        <v>7.85</v>
      </c>
      <c r="BE32" s="89" t="s">
        <v>163</v>
      </c>
      <c r="BF32" s="89">
        <v>5.85</v>
      </c>
      <c r="BG32" s="89">
        <v>6.05</v>
      </c>
      <c r="BH32" s="89">
        <v>5.75</v>
      </c>
      <c r="BI32" s="89">
        <v>5.9</v>
      </c>
      <c r="BJ32" s="89">
        <v>5.7</v>
      </c>
      <c r="BK32" s="89">
        <v>5.75</v>
      </c>
      <c r="BL32" s="89">
        <v>5.6</v>
      </c>
      <c r="BM32" s="89">
        <v>5.6</v>
      </c>
    </row>
    <row r="33" spans="5:65" hidden="1" x14ac:dyDescent="0.2">
      <c r="G33" s="89" t="s">
        <v>50</v>
      </c>
      <c r="H33" s="89">
        <v>4.55</v>
      </c>
      <c r="I33" s="89">
        <v>4.55</v>
      </c>
      <c r="J33" s="89">
        <v>4.8</v>
      </c>
      <c r="K33" s="89">
        <v>4.8</v>
      </c>
      <c r="L33" s="89">
        <v>5.05</v>
      </c>
      <c r="M33" s="89">
        <v>5.05</v>
      </c>
      <c r="N33" s="89">
        <v>5.3</v>
      </c>
      <c r="O33" s="89">
        <v>5.3</v>
      </c>
      <c r="Q33" s="89" t="s">
        <v>50</v>
      </c>
      <c r="R33" s="89">
        <v>3.9</v>
      </c>
      <c r="S33" s="89">
        <v>3.9</v>
      </c>
      <c r="T33" s="89">
        <v>4.1500000000000004</v>
      </c>
      <c r="U33" s="89">
        <v>4.1500000000000004</v>
      </c>
      <c r="V33" s="89">
        <v>4.4000000000000004</v>
      </c>
      <c r="W33" s="89">
        <v>4.4000000000000004</v>
      </c>
      <c r="X33" s="89">
        <v>4.5999999999999996</v>
      </c>
      <c r="Y33" s="89">
        <v>4.5999999999999996</v>
      </c>
      <c r="AA33" s="89" t="s">
        <v>50</v>
      </c>
      <c r="AB33" s="89">
        <v>5.7</v>
      </c>
      <c r="AC33" s="89">
        <v>5.95</v>
      </c>
      <c r="AD33" s="89">
        <v>6.05</v>
      </c>
      <c r="AE33" s="89">
        <v>6.3</v>
      </c>
      <c r="AF33" s="89">
        <v>6.2</v>
      </c>
      <c r="AG33" s="89">
        <v>6.45</v>
      </c>
      <c r="AH33" s="89">
        <v>6.35</v>
      </c>
      <c r="AI33" s="89">
        <v>6.65</v>
      </c>
      <c r="AK33" s="89" t="s">
        <v>50</v>
      </c>
      <c r="AL33" s="89">
        <v>4.8</v>
      </c>
      <c r="AM33" s="89">
        <v>4.8499999999999996</v>
      </c>
      <c r="AN33" s="89">
        <v>5.45</v>
      </c>
      <c r="AO33" s="89">
        <v>5.7</v>
      </c>
      <c r="AP33" s="89">
        <v>5.5</v>
      </c>
      <c r="AQ33" s="89">
        <v>5.8</v>
      </c>
      <c r="AR33" s="89">
        <v>5.45</v>
      </c>
      <c r="AS33" s="89">
        <v>5.75</v>
      </c>
      <c r="AU33" s="89" t="s">
        <v>50</v>
      </c>
      <c r="AV33" s="89">
        <v>6.85</v>
      </c>
      <c r="AW33" s="89">
        <v>7.15</v>
      </c>
      <c r="AX33" s="89">
        <v>7</v>
      </c>
      <c r="AY33" s="89">
        <v>7.35</v>
      </c>
      <c r="AZ33" s="89">
        <v>7.1</v>
      </c>
      <c r="BA33" s="89">
        <v>7.5</v>
      </c>
      <c r="BB33" s="89">
        <v>7.2</v>
      </c>
      <c r="BC33" s="89">
        <v>7.6</v>
      </c>
      <c r="BE33" s="89" t="s">
        <v>50</v>
      </c>
      <c r="BF33" s="89">
        <v>6.05</v>
      </c>
      <c r="BG33" s="89">
        <v>6.05</v>
      </c>
      <c r="BH33" s="89">
        <v>5.65</v>
      </c>
      <c r="BI33" s="89">
        <v>5.9</v>
      </c>
      <c r="BJ33" s="89">
        <v>5.6</v>
      </c>
      <c r="BK33" s="89">
        <v>5.75</v>
      </c>
      <c r="BL33" s="89">
        <v>5.6</v>
      </c>
      <c r="BM33" s="89">
        <v>5.6</v>
      </c>
    </row>
    <row r="34" spans="5:65" hidden="1" x14ac:dyDescent="0.2">
      <c r="G34" s="89" t="s">
        <v>76</v>
      </c>
      <c r="H34" s="89">
        <v>4.25</v>
      </c>
      <c r="I34" s="89">
        <v>4.25</v>
      </c>
      <c r="J34" s="89">
        <v>4.5</v>
      </c>
      <c r="K34" s="89">
        <v>4.5</v>
      </c>
      <c r="L34" s="89">
        <v>4.75</v>
      </c>
      <c r="M34" s="89">
        <v>4.75</v>
      </c>
      <c r="N34" s="89">
        <v>4.95</v>
      </c>
      <c r="O34" s="89">
        <v>4.95</v>
      </c>
      <c r="Q34" s="89" t="s">
        <v>76</v>
      </c>
      <c r="R34" s="89">
        <v>3.7</v>
      </c>
      <c r="S34" s="89">
        <v>3.7</v>
      </c>
      <c r="T34" s="89">
        <v>3.9</v>
      </c>
      <c r="U34" s="89">
        <v>3.9</v>
      </c>
      <c r="V34" s="89">
        <v>4.0999999999999996</v>
      </c>
      <c r="W34" s="89">
        <v>4.0999999999999996</v>
      </c>
      <c r="X34" s="89">
        <v>4.3</v>
      </c>
      <c r="Y34" s="89">
        <v>4.3</v>
      </c>
      <c r="AA34" s="89" t="s">
        <v>76</v>
      </c>
      <c r="AB34" s="89">
        <v>5.5</v>
      </c>
      <c r="AC34" s="89">
        <v>5.75</v>
      </c>
      <c r="AD34" s="89">
        <v>5.85</v>
      </c>
      <c r="AE34" s="89">
        <v>6.15</v>
      </c>
      <c r="AF34" s="89">
        <v>6</v>
      </c>
      <c r="AG34" s="89">
        <v>6.3</v>
      </c>
      <c r="AH34" s="89">
        <v>6.15</v>
      </c>
      <c r="AI34" s="89">
        <v>6.45</v>
      </c>
      <c r="AK34" s="89" t="s">
        <v>76</v>
      </c>
      <c r="AL34" s="89">
        <v>4.55</v>
      </c>
      <c r="AM34" s="89">
        <v>4.55</v>
      </c>
      <c r="AN34" s="89">
        <v>5.3</v>
      </c>
      <c r="AO34" s="89">
        <v>5.6</v>
      </c>
      <c r="AP34" s="89">
        <v>5.35</v>
      </c>
      <c r="AQ34" s="89">
        <v>5.65</v>
      </c>
      <c r="AR34" s="89">
        <v>5.35</v>
      </c>
      <c r="AS34" s="89">
        <v>5.65</v>
      </c>
      <c r="AU34" s="89" t="s">
        <v>76</v>
      </c>
      <c r="AV34" s="89">
        <v>6.6</v>
      </c>
      <c r="AW34" s="89">
        <v>6.95</v>
      </c>
      <c r="AX34" s="89">
        <v>6.8</v>
      </c>
      <c r="AY34" s="89">
        <v>7.15</v>
      </c>
      <c r="AZ34" s="89">
        <v>6.9</v>
      </c>
      <c r="BA34" s="89">
        <v>7.3</v>
      </c>
      <c r="BB34" s="89">
        <v>7</v>
      </c>
      <c r="BC34" s="89">
        <v>7.4</v>
      </c>
      <c r="BE34" s="89" t="s">
        <v>76</v>
      </c>
      <c r="BF34" s="89">
        <v>5.6</v>
      </c>
      <c r="BG34" s="89">
        <v>5.9</v>
      </c>
      <c r="BH34" s="89">
        <v>5.55</v>
      </c>
      <c r="BI34" s="89">
        <v>5.85</v>
      </c>
      <c r="BJ34" s="89">
        <v>5.5</v>
      </c>
      <c r="BK34" s="89">
        <v>5.75</v>
      </c>
      <c r="BL34" s="89">
        <v>5.6</v>
      </c>
      <c r="BM34" s="89">
        <v>5.6</v>
      </c>
    </row>
    <row r="35" spans="5:65" hidden="1" x14ac:dyDescent="0.2">
      <c r="G35" s="89" t="s">
        <v>77</v>
      </c>
      <c r="H35" s="89">
        <v>4</v>
      </c>
      <c r="I35" s="89">
        <v>4</v>
      </c>
      <c r="J35" s="89">
        <v>4.25</v>
      </c>
      <c r="K35" s="89">
        <v>4.25</v>
      </c>
      <c r="L35" s="89">
        <v>4.45</v>
      </c>
      <c r="M35" s="89">
        <v>4.45</v>
      </c>
      <c r="N35" s="89">
        <v>4.7</v>
      </c>
      <c r="O35" s="89">
        <v>4.7</v>
      </c>
      <c r="Q35" s="89" t="s">
        <v>77</v>
      </c>
      <c r="R35" s="89">
        <v>3.45</v>
      </c>
      <c r="S35" s="89">
        <v>3.45</v>
      </c>
      <c r="T35" s="89">
        <v>3.65</v>
      </c>
      <c r="U35" s="89">
        <v>3.65</v>
      </c>
      <c r="V35" s="89">
        <v>3.85</v>
      </c>
      <c r="W35" s="89">
        <v>3.85</v>
      </c>
      <c r="X35" s="89">
        <v>4.0999999999999996</v>
      </c>
      <c r="Y35" s="89">
        <v>4.0999999999999996</v>
      </c>
      <c r="AA35" s="89" t="s">
        <v>77</v>
      </c>
      <c r="AB35" s="89">
        <v>5.35</v>
      </c>
      <c r="AC35" s="89">
        <v>5.6</v>
      </c>
      <c r="AD35" s="89">
        <v>5.7</v>
      </c>
      <c r="AE35" s="89">
        <v>6</v>
      </c>
      <c r="AF35" s="89">
        <v>5.8</v>
      </c>
      <c r="AG35" s="89">
        <v>6.1</v>
      </c>
      <c r="AH35" s="89">
        <v>6</v>
      </c>
      <c r="AI35" s="89">
        <v>6.3</v>
      </c>
      <c r="AK35" s="89" t="s">
        <v>77</v>
      </c>
      <c r="AL35" s="89">
        <v>4.25</v>
      </c>
      <c r="AM35" s="89">
        <v>4.25</v>
      </c>
      <c r="AN35" s="89">
        <v>5.15</v>
      </c>
      <c r="AO35" s="89">
        <v>5.45</v>
      </c>
      <c r="AP35" s="89">
        <v>5.25</v>
      </c>
      <c r="AQ35" s="89">
        <v>5.55</v>
      </c>
      <c r="AR35" s="89">
        <v>5.25</v>
      </c>
      <c r="AS35" s="89">
        <v>5.55</v>
      </c>
      <c r="AU35" s="89" t="s">
        <v>77</v>
      </c>
      <c r="AV35" s="89">
        <v>6.4</v>
      </c>
      <c r="AW35" s="89">
        <v>6.75</v>
      </c>
      <c r="AX35" s="89">
        <v>6.6</v>
      </c>
      <c r="AY35" s="89">
        <v>7</v>
      </c>
      <c r="AZ35" s="89">
        <v>6.7</v>
      </c>
      <c r="BA35" s="89">
        <v>7.1</v>
      </c>
      <c r="BB35" s="89">
        <v>6.85</v>
      </c>
      <c r="BC35" s="89">
        <v>7.2</v>
      </c>
      <c r="BE35" s="89" t="s">
        <v>77</v>
      </c>
      <c r="BF35" s="89">
        <v>5.5</v>
      </c>
      <c r="BG35" s="89">
        <v>5.8</v>
      </c>
      <c r="BH35" s="89">
        <v>5.45</v>
      </c>
      <c r="BI35" s="89">
        <v>5.75</v>
      </c>
      <c r="BJ35" s="89">
        <v>5.4</v>
      </c>
      <c r="BK35" s="89">
        <v>5.7</v>
      </c>
      <c r="BL35" s="89">
        <v>5.35</v>
      </c>
      <c r="BM35" s="89">
        <v>5.6</v>
      </c>
    </row>
    <row r="36" spans="5:65" hidden="1" x14ac:dyDescent="0.2">
      <c r="G36" s="89" t="s">
        <v>46</v>
      </c>
      <c r="H36" s="89">
        <v>3.8</v>
      </c>
      <c r="I36" s="89">
        <v>3.8</v>
      </c>
      <c r="J36" s="89">
        <v>4</v>
      </c>
      <c r="K36" s="89">
        <v>4</v>
      </c>
      <c r="L36" s="89">
        <v>4.2</v>
      </c>
      <c r="M36" s="89">
        <v>4.2</v>
      </c>
      <c r="N36" s="89">
        <v>4.45</v>
      </c>
      <c r="O36" s="89">
        <v>4.45</v>
      </c>
      <c r="Q36" s="89" t="s">
        <v>46</v>
      </c>
      <c r="R36" s="89">
        <v>3.25</v>
      </c>
      <c r="S36" s="89">
        <v>3.25</v>
      </c>
      <c r="T36" s="89">
        <v>3.45</v>
      </c>
      <c r="U36" s="89">
        <v>3.45</v>
      </c>
      <c r="V36" s="89">
        <v>3.65</v>
      </c>
      <c r="W36" s="89">
        <v>3.65</v>
      </c>
      <c r="X36" s="89">
        <v>3.85</v>
      </c>
      <c r="Y36" s="89">
        <v>3.85</v>
      </c>
      <c r="AA36" s="89" t="s">
        <v>46</v>
      </c>
      <c r="AB36" s="89">
        <v>5.2</v>
      </c>
      <c r="AC36" s="89">
        <v>5.35</v>
      </c>
      <c r="AD36" s="89">
        <v>5.5</v>
      </c>
      <c r="AE36" s="89">
        <v>5.8</v>
      </c>
      <c r="AF36" s="89">
        <v>5.65</v>
      </c>
      <c r="AG36" s="89">
        <v>6</v>
      </c>
      <c r="AH36" s="89">
        <v>5.8</v>
      </c>
      <c r="AI36" s="89">
        <v>6.15</v>
      </c>
      <c r="AK36" s="89" t="s">
        <v>46</v>
      </c>
      <c r="AL36" s="89">
        <v>4.05</v>
      </c>
      <c r="AM36" s="89">
        <v>4.05</v>
      </c>
      <c r="AN36" s="89">
        <v>5.05</v>
      </c>
      <c r="AO36" s="89">
        <v>5.35</v>
      </c>
      <c r="AP36" s="89">
        <v>5.15</v>
      </c>
      <c r="AQ36" s="89">
        <v>5.4</v>
      </c>
      <c r="AR36" s="89">
        <v>5.15</v>
      </c>
      <c r="AS36" s="89">
        <v>5.4</v>
      </c>
      <c r="AU36" s="89" t="s">
        <v>46</v>
      </c>
      <c r="AV36" s="89">
        <v>6.25</v>
      </c>
      <c r="AW36" s="89">
        <v>6.6</v>
      </c>
      <c r="AX36" s="89">
        <v>6.4</v>
      </c>
      <c r="AY36" s="89">
        <v>6.8</v>
      </c>
      <c r="AZ36" s="89">
        <v>6.55</v>
      </c>
      <c r="BA36" s="89">
        <v>6.95</v>
      </c>
      <c r="BB36" s="89">
        <v>6.65</v>
      </c>
      <c r="BC36" s="89">
        <v>7.05</v>
      </c>
      <c r="BE36" s="89" t="s">
        <v>46</v>
      </c>
      <c r="BF36" s="89">
        <v>5.4</v>
      </c>
      <c r="BG36" s="89">
        <v>5.7</v>
      </c>
      <c r="BH36" s="89">
        <v>5.35</v>
      </c>
      <c r="BI36" s="89">
        <v>5.65</v>
      </c>
      <c r="BJ36" s="89">
        <v>5.3</v>
      </c>
      <c r="BK36" s="89">
        <v>5.6</v>
      </c>
      <c r="BL36" s="89">
        <v>5.3</v>
      </c>
      <c r="BM36" s="89">
        <v>5.55</v>
      </c>
    </row>
    <row r="37" spans="5:65" hidden="1" x14ac:dyDescent="0.2">
      <c r="G37" s="89" t="s">
        <v>82</v>
      </c>
      <c r="H37" s="89">
        <v>3.4</v>
      </c>
      <c r="I37" s="89">
        <v>3.4</v>
      </c>
      <c r="J37" s="89">
        <v>3.6</v>
      </c>
      <c r="K37" s="89">
        <v>3.6</v>
      </c>
      <c r="L37" s="89">
        <v>3.8</v>
      </c>
      <c r="M37" s="89">
        <v>3.8</v>
      </c>
      <c r="N37" s="89">
        <v>4</v>
      </c>
      <c r="O37" s="89">
        <v>4</v>
      </c>
      <c r="Q37" s="89" t="s">
        <v>82</v>
      </c>
      <c r="R37" s="89">
        <v>3</v>
      </c>
      <c r="S37" s="89">
        <v>3</v>
      </c>
      <c r="T37" s="89">
        <v>3.25</v>
      </c>
      <c r="U37" s="89">
        <v>3.25</v>
      </c>
      <c r="V37" s="89">
        <v>3.55</v>
      </c>
      <c r="W37" s="89">
        <v>3.55</v>
      </c>
      <c r="X37" s="89">
        <v>3.7</v>
      </c>
      <c r="Y37" s="89">
        <v>3.7</v>
      </c>
      <c r="AA37" s="89" t="s">
        <v>82</v>
      </c>
      <c r="AB37" s="89">
        <v>4.8</v>
      </c>
      <c r="AC37" s="89">
        <v>4.8</v>
      </c>
      <c r="AD37" s="89">
        <v>5.3</v>
      </c>
      <c r="AE37" s="89">
        <v>5.65</v>
      </c>
      <c r="AF37" s="89">
        <v>5.45</v>
      </c>
      <c r="AG37" s="89">
        <v>5.8</v>
      </c>
      <c r="AH37" s="89">
        <v>5.6</v>
      </c>
      <c r="AI37" s="89">
        <v>6</v>
      </c>
      <c r="AK37" s="89" t="s">
        <v>82</v>
      </c>
      <c r="AL37" s="89">
        <v>3.65</v>
      </c>
      <c r="AM37" s="89">
        <v>3.6</v>
      </c>
      <c r="AN37" s="89">
        <v>4.9000000000000004</v>
      </c>
      <c r="AO37" s="89">
        <v>5.15</v>
      </c>
      <c r="AP37" s="89">
        <v>5</v>
      </c>
      <c r="AQ37" s="89">
        <v>5.25</v>
      </c>
      <c r="AR37" s="89">
        <v>5</v>
      </c>
      <c r="AS37" s="89">
        <v>5.3</v>
      </c>
      <c r="AU37" s="89" t="s">
        <v>82</v>
      </c>
      <c r="AV37" s="89">
        <v>6</v>
      </c>
      <c r="AW37" s="89">
        <v>6.4</v>
      </c>
      <c r="AX37" s="89">
        <v>6.2</v>
      </c>
      <c r="AY37" s="89">
        <v>6.6</v>
      </c>
      <c r="AZ37" s="89">
        <v>6.35</v>
      </c>
      <c r="BA37" s="89">
        <v>6.65</v>
      </c>
      <c r="BB37" s="89">
        <v>6.45</v>
      </c>
      <c r="BC37" s="89">
        <v>6.7</v>
      </c>
      <c r="BE37" s="89" t="s">
        <v>82</v>
      </c>
      <c r="BF37" s="89">
        <v>5.2</v>
      </c>
      <c r="BG37" s="89">
        <v>5.5</v>
      </c>
      <c r="BH37" s="89">
        <v>5.25</v>
      </c>
      <c r="BI37" s="89">
        <v>5.55</v>
      </c>
      <c r="BJ37" s="89">
        <v>5.25</v>
      </c>
      <c r="BK37" s="89">
        <v>5.5</v>
      </c>
      <c r="BL37" s="89">
        <v>5.2</v>
      </c>
      <c r="BM37" s="89">
        <v>5.5</v>
      </c>
    </row>
    <row r="38" spans="5:65" hidden="1" x14ac:dyDescent="0.2">
      <c r="G38" s="89" t="s">
        <v>45</v>
      </c>
      <c r="H38" s="89">
        <v>3.2</v>
      </c>
      <c r="I38" s="89">
        <v>3.2</v>
      </c>
      <c r="J38" s="89">
        <v>3.4</v>
      </c>
      <c r="K38" s="89">
        <v>3.4</v>
      </c>
      <c r="L38" s="89">
        <v>3.6</v>
      </c>
      <c r="M38" s="89">
        <v>3.6</v>
      </c>
      <c r="N38" s="89">
        <v>3.8</v>
      </c>
      <c r="O38" s="89">
        <v>3.8</v>
      </c>
      <c r="Q38" s="89" t="s">
        <v>45</v>
      </c>
      <c r="R38" s="89">
        <v>2.75</v>
      </c>
      <c r="S38" s="89">
        <v>2.75</v>
      </c>
      <c r="T38" s="89">
        <v>2.95</v>
      </c>
      <c r="U38" s="89">
        <v>2.95</v>
      </c>
      <c r="V38" s="89">
        <v>3.15</v>
      </c>
      <c r="W38" s="89">
        <v>3.15</v>
      </c>
      <c r="X38" s="89">
        <v>3.3</v>
      </c>
      <c r="Y38" s="89">
        <v>3.3</v>
      </c>
      <c r="AA38" s="89" t="s">
        <v>45</v>
      </c>
      <c r="AB38" s="89">
        <v>4.5999999999999996</v>
      </c>
      <c r="AC38" s="89">
        <v>4.5999999999999996</v>
      </c>
      <c r="AD38" s="89">
        <v>5.0999999999999996</v>
      </c>
      <c r="AE38" s="89">
        <v>5.45</v>
      </c>
      <c r="AF38" s="89">
        <v>5.25</v>
      </c>
      <c r="AG38" s="89">
        <v>5.6</v>
      </c>
      <c r="AH38" s="89">
        <v>5.4</v>
      </c>
      <c r="AI38" s="89">
        <v>5.8</v>
      </c>
      <c r="AK38" s="89" t="s">
        <v>45</v>
      </c>
      <c r="AL38" s="89">
        <v>3.45</v>
      </c>
      <c r="AM38" s="89">
        <v>3.45</v>
      </c>
      <c r="AN38" s="89">
        <v>4.75</v>
      </c>
      <c r="AO38" s="89">
        <v>5</v>
      </c>
      <c r="AP38" s="89">
        <v>4.8499999999999996</v>
      </c>
      <c r="AQ38" s="89">
        <v>5.0999999999999996</v>
      </c>
      <c r="AR38" s="89">
        <v>4.8</v>
      </c>
      <c r="AS38" s="89">
        <v>5.05</v>
      </c>
      <c r="AU38" s="89" t="s">
        <v>45</v>
      </c>
      <c r="AV38" s="89">
        <v>5.8</v>
      </c>
      <c r="AW38" s="89">
        <v>6.2</v>
      </c>
      <c r="AX38" s="89">
        <v>6</v>
      </c>
      <c r="AY38" s="89">
        <v>6.4</v>
      </c>
      <c r="AZ38" s="89">
        <v>6.1</v>
      </c>
      <c r="BA38" s="89">
        <v>6.45</v>
      </c>
      <c r="BB38" s="89">
        <v>6.25</v>
      </c>
      <c r="BC38" s="89">
        <v>6.55</v>
      </c>
      <c r="BE38" s="89" t="s">
        <v>45</v>
      </c>
      <c r="BF38" s="89">
        <v>5.0999999999999996</v>
      </c>
      <c r="BG38" s="89">
        <v>5.4</v>
      </c>
      <c r="BH38" s="89">
        <v>5.0999999999999996</v>
      </c>
      <c r="BI38" s="89">
        <v>5.4</v>
      </c>
      <c r="BJ38" s="89">
        <v>5.0999999999999996</v>
      </c>
      <c r="BK38" s="89">
        <v>5.35</v>
      </c>
      <c r="BL38" s="89">
        <v>5.05</v>
      </c>
      <c r="BM38" s="89">
        <v>5.35</v>
      </c>
    </row>
    <row r="39" spans="5:65" hidden="1" x14ac:dyDescent="0.2">
      <c r="G39" s="89" t="s">
        <v>68</v>
      </c>
      <c r="H39" s="89">
        <v>2.5</v>
      </c>
      <c r="I39" s="89">
        <v>2.5</v>
      </c>
      <c r="J39" s="89">
        <v>2.7</v>
      </c>
      <c r="K39" s="89">
        <v>2.7</v>
      </c>
      <c r="L39" s="89">
        <v>2.85</v>
      </c>
      <c r="M39" s="89">
        <v>2.85</v>
      </c>
      <c r="N39" s="89">
        <v>3.05</v>
      </c>
      <c r="O39" s="89">
        <v>3.05</v>
      </c>
      <c r="Q39" s="89" t="s">
        <v>68</v>
      </c>
      <c r="R39" s="89">
        <v>2.5</v>
      </c>
      <c r="S39" s="89">
        <v>2.5</v>
      </c>
      <c r="T39" s="89">
        <v>2.7</v>
      </c>
      <c r="U39" s="89">
        <v>2.7</v>
      </c>
      <c r="V39" s="89">
        <v>2.85</v>
      </c>
      <c r="W39" s="89">
        <v>2.85</v>
      </c>
      <c r="X39" s="89">
        <v>3.05</v>
      </c>
      <c r="Y39" s="89">
        <v>3.05</v>
      </c>
      <c r="AA39" s="89" t="s">
        <v>68</v>
      </c>
      <c r="AB39" s="89">
        <v>4.2</v>
      </c>
      <c r="AC39" s="89">
        <v>4.2</v>
      </c>
      <c r="AD39" s="89">
        <v>5.9</v>
      </c>
      <c r="AE39" s="89">
        <v>5.25</v>
      </c>
      <c r="AF39" s="89">
        <v>5.05</v>
      </c>
      <c r="AG39" s="89">
        <v>5.4</v>
      </c>
      <c r="AH39" s="89">
        <v>5.2</v>
      </c>
      <c r="AI39" s="89">
        <v>5.55</v>
      </c>
      <c r="AK39" s="89" t="s">
        <v>68</v>
      </c>
      <c r="AL39" s="89">
        <v>3.15</v>
      </c>
      <c r="AM39" s="89">
        <v>3.15</v>
      </c>
      <c r="AN39" s="89">
        <v>4.5999999999999996</v>
      </c>
      <c r="AO39" s="89">
        <v>4.8499999999999996</v>
      </c>
      <c r="AP39" s="89">
        <v>4.6500000000000004</v>
      </c>
      <c r="AQ39" s="89">
        <v>4.9000000000000004</v>
      </c>
      <c r="AR39" s="89">
        <v>4.6500000000000004</v>
      </c>
      <c r="AS39" s="89">
        <v>4.9000000000000004</v>
      </c>
      <c r="AU39" s="89" t="s">
        <v>68</v>
      </c>
      <c r="AV39" s="89">
        <v>5.55</v>
      </c>
      <c r="AW39" s="89">
        <v>6</v>
      </c>
      <c r="AX39" s="89">
        <v>5.7</v>
      </c>
      <c r="AY39" s="89">
        <v>6.2</v>
      </c>
      <c r="AZ39" s="89">
        <v>5.85</v>
      </c>
      <c r="BA39" s="89">
        <v>6.2</v>
      </c>
      <c r="BB39" s="89">
        <v>6</v>
      </c>
      <c r="BC39" s="89">
        <v>6.3</v>
      </c>
      <c r="BE39" s="89" t="s">
        <v>68</v>
      </c>
      <c r="BF39" s="89">
        <v>4.95</v>
      </c>
      <c r="BG39" s="89">
        <v>5.2</v>
      </c>
      <c r="BH39" s="89">
        <v>4.95</v>
      </c>
      <c r="BI39" s="89">
        <v>5.2</v>
      </c>
      <c r="BJ39" s="89">
        <v>4.95</v>
      </c>
      <c r="BK39" s="89">
        <v>5.2</v>
      </c>
      <c r="BL39" s="89">
        <v>4.95</v>
      </c>
      <c r="BM39" s="89">
        <v>5.2</v>
      </c>
    </row>
    <row r="40" spans="5:65" hidden="1" x14ac:dyDescent="0.2">
      <c r="G40" s="89" t="s">
        <v>71</v>
      </c>
      <c r="H40" s="232">
        <v>180</v>
      </c>
      <c r="I40" s="232"/>
      <c r="J40" s="232">
        <v>200</v>
      </c>
      <c r="K40" s="232"/>
      <c r="L40" s="232">
        <v>225</v>
      </c>
      <c r="M40" s="232"/>
      <c r="N40" s="232">
        <v>250</v>
      </c>
      <c r="O40" s="232"/>
      <c r="R40" s="232">
        <v>170</v>
      </c>
      <c r="S40" s="232"/>
      <c r="T40" s="232">
        <v>195</v>
      </c>
      <c r="U40" s="232"/>
      <c r="V40" s="232">
        <v>215</v>
      </c>
      <c r="W40" s="232"/>
      <c r="X40" s="232">
        <v>240</v>
      </c>
      <c r="Y40" s="232"/>
      <c r="AB40" s="89">
        <v>210</v>
      </c>
      <c r="AD40" s="89">
        <v>235</v>
      </c>
      <c r="AF40" s="89">
        <v>260</v>
      </c>
      <c r="AH40" s="89">
        <v>280</v>
      </c>
      <c r="AL40" s="89">
        <v>200</v>
      </c>
      <c r="AN40" s="89">
        <v>235</v>
      </c>
      <c r="AP40" s="89">
        <v>260</v>
      </c>
      <c r="AR40" s="89">
        <v>280</v>
      </c>
      <c r="AV40" s="232">
        <v>271</v>
      </c>
      <c r="AW40" s="232"/>
      <c r="AX40" s="232">
        <v>294</v>
      </c>
      <c r="AY40" s="232"/>
      <c r="AZ40" s="232">
        <v>317</v>
      </c>
      <c r="BA40" s="232"/>
      <c r="BB40" s="232">
        <v>340</v>
      </c>
      <c r="BC40" s="232"/>
      <c r="BF40" s="232">
        <v>271</v>
      </c>
      <c r="BG40" s="232"/>
      <c r="BH40" s="232">
        <v>294</v>
      </c>
      <c r="BI40" s="232"/>
      <c r="BJ40" s="232">
        <v>317</v>
      </c>
      <c r="BK40" s="232"/>
      <c r="BL40" s="232">
        <v>340</v>
      </c>
      <c r="BM40" s="232"/>
    </row>
    <row r="41" spans="5:65" hidden="1" x14ac:dyDescent="0.2">
      <c r="G41" s="89" t="s">
        <v>72</v>
      </c>
      <c r="H41" s="232">
        <v>62</v>
      </c>
      <c r="I41" s="232"/>
      <c r="J41" s="232">
        <v>72</v>
      </c>
      <c r="K41" s="232"/>
      <c r="L41" s="232">
        <v>82</v>
      </c>
      <c r="M41" s="232"/>
      <c r="N41" s="232">
        <v>92</v>
      </c>
      <c r="O41" s="232"/>
      <c r="R41" s="232">
        <v>60</v>
      </c>
      <c r="S41" s="232"/>
      <c r="T41" s="232">
        <v>70</v>
      </c>
      <c r="U41" s="232"/>
      <c r="V41" s="232">
        <v>80</v>
      </c>
      <c r="W41" s="232"/>
      <c r="X41" s="232">
        <v>90</v>
      </c>
      <c r="Y41" s="232"/>
      <c r="AB41" s="89">
        <v>73</v>
      </c>
      <c r="AD41" s="89">
        <v>80</v>
      </c>
      <c r="AF41" s="89">
        <v>88</v>
      </c>
      <c r="AH41" s="89">
        <v>98</v>
      </c>
      <c r="AL41" s="89">
        <v>73</v>
      </c>
      <c r="AN41" s="89">
        <v>78</v>
      </c>
      <c r="AP41" s="89">
        <v>88</v>
      </c>
      <c r="AR41" s="89">
        <v>98</v>
      </c>
      <c r="AV41" s="232">
        <v>91</v>
      </c>
      <c r="AW41" s="232"/>
      <c r="AX41" s="232">
        <v>102</v>
      </c>
      <c r="AY41" s="232"/>
      <c r="AZ41" s="232">
        <v>111</v>
      </c>
      <c r="BA41" s="232"/>
      <c r="BB41" s="232">
        <v>121</v>
      </c>
      <c r="BC41" s="232"/>
      <c r="BF41" s="232">
        <v>91</v>
      </c>
      <c r="BG41" s="232"/>
      <c r="BH41" s="232">
        <v>101</v>
      </c>
      <c r="BI41" s="232"/>
      <c r="BJ41" s="232">
        <v>111</v>
      </c>
      <c r="BK41" s="232"/>
      <c r="BL41" s="232">
        <v>121</v>
      </c>
      <c r="BM41" s="232"/>
    </row>
    <row r="42" spans="5:65" hidden="1" x14ac:dyDescent="0.2">
      <c r="E42" s="89" t="s">
        <v>49</v>
      </c>
      <c r="G42" s="89" t="str">
        <f>+DIM!$AK$20&amp;"+"&amp;DIM!$S$14</f>
        <v>151+250</v>
      </c>
      <c r="H42" s="93">
        <f>+VLOOKUP($G$42,$G$16:$O$39,2,FALSE)</f>
        <v>5.2</v>
      </c>
      <c r="I42" s="93">
        <f>+VLOOKUP($G$42,$G$16:$O$39,3,FALSE)</f>
        <v>5.7</v>
      </c>
      <c r="J42" s="93">
        <f>+VLOOKUP($G$42,$G$16:$O$39,4,FALSE)</f>
        <v>5.4</v>
      </c>
      <c r="K42" s="93">
        <f>+VLOOKUP($G$42,$G$16:$O$39,5,FALSE)</f>
        <v>5.7</v>
      </c>
      <c r="L42" s="93">
        <f>+VLOOKUP($G$42,$G$16:$O$39,6,FALSE)</f>
        <v>5.55</v>
      </c>
      <c r="M42" s="93">
        <f>+VLOOKUP($G$42,$G$16:$O$39,7,FALSE)</f>
        <v>5.9</v>
      </c>
      <c r="N42" s="93">
        <f>+VLOOKUP($G$42,$G$16:$O$39,8,FALSE)</f>
        <v>5.75</v>
      </c>
      <c r="O42" s="93">
        <f>+VLOOKUP($G$42,$G$16:$O$39,9,FALSE)</f>
        <v>6.15</v>
      </c>
      <c r="Q42" s="89" t="str">
        <f>+DIM!$AK$20&amp;"+"&amp;DIM!$S$14</f>
        <v>151+250</v>
      </c>
      <c r="R42" s="93">
        <f>+VLOOKUP($Q$42,$Q$16:$Y$39,2,FALSE)</f>
        <v>4.7</v>
      </c>
      <c r="S42" s="93">
        <f>+VLOOKUP($Q$42,$Q$16:$Y$39,3,FALSE)</f>
        <v>4.7</v>
      </c>
      <c r="T42" s="93">
        <f>+VLOOKUP($Q$42,$Q$16:$Y$39,4,FALSE)</f>
        <v>4.9000000000000004</v>
      </c>
      <c r="U42" s="93">
        <f>+VLOOKUP($Q$42,$Q$16:$Y$39,5,FALSE)</f>
        <v>4.97</v>
      </c>
      <c r="V42" s="93">
        <f>+VLOOKUP($Q$42,$Q$16:$Y$39,6,FALSE)</f>
        <v>4.8499999999999996</v>
      </c>
      <c r="W42" s="93">
        <f>+VLOOKUP($Q$42,$Q$16:$Y$39,7,FALSE)</f>
        <v>5.0999999999999996</v>
      </c>
      <c r="X42" s="93">
        <f>+VLOOKUP($Q$42,$Q$16:$Y$39,8,FALSE)</f>
        <v>4.75</v>
      </c>
      <c r="Y42" s="93">
        <f>+VLOOKUP($Q$42,$Q$16:$Y$39,9,FALSE)</f>
        <v>4.95</v>
      </c>
      <c r="AA42" s="89" t="str">
        <f>+DIM!$AK$20&amp;"+"&amp;DIM!$S$14</f>
        <v>151+250</v>
      </c>
      <c r="AB42" s="93">
        <f>+VLOOKUP($AA$42,$AA$16:$AI$41,2,FALSE)</f>
        <v>5.95</v>
      </c>
      <c r="AC42" s="93">
        <f>+VLOOKUP($AA$42,$AA$16:$AI$41,3,FALSE)</f>
        <v>6.3</v>
      </c>
      <c r="AD42" s="93">
        <f>+VLOOKUP($AA$42,$AA$16:$AI$41,4,FALSE)</f>
        <v>6.3</v>
      </c>
      <c r="AE42" s="93">
        <f>+VLOOKUP($AA$42,$AA$16:$AI$41,5,FALSE)</f>
        <v>6.7</v>
      </c>
      <c r="AF42" s="93">
        <f>+VLOOKUP($AA$42,$AA$16:$AI$41,6,FALSE)</f>
        <v>6.4</v>
      </c>
      <c r="AG42" s="93">
        <f>+VLOOKUP($AA$42,$AA$16:$AI$41,7,FALSE)</f>
        <v>6.85</v>
      </c>
      <c r="AH42" s="93">
        <f>+VLOOKUP($AA$42,$AA$16:$AI$41,8,FALSE)</f>
        <v>6.55</v>
      </c>
      <c r="AI42" s="93">
        <f>+VLOOKUP($AA$42,$AA$16:$AI$41,9,FALSE)</f>
        <v>7.05</v>
      </c>
      <c r="AK42" s="89" t="str">
        <f>+DIM!$AK$20&amp;"+"&amp;DIM!$S$14</f>
        <v>151+250</v>
      </c>
      <c r="AL42" s="93">
        <f>+VLOOKUP($AK$42,$AK$16:$AS$41,2,FALSE)</f>
        <v>4.9000000000000004</v>
      </c>
      <c r="AM42" s="93">
        <f>+VLOOKUP($AK$42,$AK$16:$AS$41,3,FALSE)</f>
        <v>5.2</v>
      </c>
      <c r="AN42" s="93">
        <f>+VLOOKUP($AK$42,$AK$16:$AS$41,4,FALSE)</f>
        <v>5.6</v>
      </c>
      <c r="AO42" s="93">
        <f>+VLOOKUP($AK$42,$AK$16:$AS$41,5,FALSE)</f>
        <v>5.9</v>
      </c>
      <c r="AP42" s="93">
        <f>+VLOOKUP($AK$42,$AK$16:$AS$41,6,FALSE)</f>
        <v>5.65</v>
      </c>
      <c r="AQ42" s="93">
        <f>+VLOOKUP($AK$42,$AK$16:$AS$41,7,FALSE)</f>
        <v>6</v>
      </c>
      <c r="AR42" s="93">
        <f>+VLOOKUP($AK$42,$AK$16:$AS$41,8,FALSE)</f>
        <v>5.6</v>
      </c>
      <c r="AS42" s="93">
        <f>+VLOOKUP($AK$42,$AK$16:$AS$41,9,FALSE)</f>
        <v>5.9</v>
      </c>
      <c r="AU42" s="89" t="str">
        <f>+DIM!$AK$20&amp;"+"&amp;DIM!$S$14</f>
        <v>151+250</v>
      </c>
      <c r="AV42" s="93">
        <f>+VLOOKUP($AU$42,$AU$16:$BC$39,2,FALSE)</f>
        <v>7.05</v>
      </c>
      <c r="AW42" s="93">
        <f>+VLOOKUP($AU$42,$AU$16:$BC$41,3,FALSE)</f>
        <v>7.55</v>
      </c>
      <c r="AX42" s="93">
        <f>+VLOOKUP($AU$42,$AU$16:$BC$41,4,FALSE)</f>
        <v>7.25</v>
      </c>
      <c r="AY42" s="93">
        <f>+VLOOKUP($AU$42,$AU$16:$BC$41,5,FALSE)</f>
        <v>7.8</v>
      </c>
      <c r="AZ42" s="93">
        <f>+VLOOKUP($AU$42,$AU$16:$BC$41,6,FALSE)</f>
        <v>7.35</v>
      </c>
      <c r="BA42" s="93">
        <f>+VLOOKUP($AU$42,$AU$16:$BC$41,7,FALSE)</f>
        <v>7.9</v>
      </c>
      <c r="BB42" s="93">
        <f>+VLOOKUP($AU$42,$AU$16:$BC$41,8,FALSE)</f>
        <v>7.5</v>
      </c>
      <c r="BC42" s="93">
        <f>+VLOOKUP($AU$42,$AU$16:$BC$41,9,FALSE)</f>
        <v>8.0500000000000007</v>
      </c>
      <c r="BE42" s="89" t="str">
        <f>+DIM!$AK$20&amp;"+"&amp;DIM!$S$14</f>
        <v>151+250</v>
      </c>
      <c r="BF42" s="93">
        <f>+VLOOKUP($BE$42,$BE$16:$BM$39,2,FALSE)</f>
        <v>6.05</v>
      </c>
      <c r="BG42" s="93">
        <f>+VLOOKUP($BE$42,$BE$16:$BM$39,3,FALSE)</f>
        <v>6.05</v>
      </c>
      <c r="BH42" s="93">
        <f>+VLOOKUP($BE$42,$BE$16:$BM$39,4,FALSE)</f>
        <v>5.9</v>
      </c>
      <c r="BI42" s="93">
        <f>+VLOOKUP($BE$42,$BE$16:$BM$39,5,FALSE)</f>
        <v>5.9</v>
      </c>
      <c r="BJ42" s="93">
        <f>+VLOOKUP($BE$42,$BE$16:$BM$41,6,FALSE)</f>
        <v>5.75</v>
      </c>
      <c r="BK42" s="93">
        <f>+VLOOKUP($BE$42,$BE$16:$BM$41,7,FALSE)</f>
        <v>5.75</v>
      </c>
      <c r="BL42" s="93">
        <f>+VLOOKUP($BE$42,$BE$16:$BM$41,8,FALSE)</f>
        <v>5.6</v>
      </c>
      <c r="BM42" s="93">
        <f>+VLOOKUP($BE$42,$BE$16:$BM$41,9,FALSE)</f>
        <v>5.6</v>
      </c>
    </row>
    <row r="43" spans="5:65" hidden="1" x14ac:dyDescent="0.2">
      <c r="F43" s="89" t="s">
        <v>47</v>
      </c>
      <c r="G43" s="89" t="str">
        <f>+DIM!AD15</f>
        <v>1C</v>
      </c>
      <c r="H43" s="231">
        <f>+IF(DIM!$AD$15=polyseac!$H$15,polyseac!H42,polyseac!I42)</f>
        <v>5.7</v>
      </c>
      <c r="I43" s="231"/>
      <c r="J43" s="231">
        <f>+IF(DIM!$AD$15=polyseac!$H$15,polyseac!J42,polyseac!K42)</f>
        <v>5.7</v>
      </c>
      <c r="K43" s="231"/>
      <c r="L43" s="231">
        <f>+IF(DIM!$AD$15=polyseac!$H$15,polyseac!L42,polyseac!M42)</f>
        <v>5.9</v>
      </c>
      <c r="M43" s="231"/>
      <c r="N43" s="231">
        <f>+IF(DIM!$AD$15=polyseac!$H$15,polyseac!N42,polyseac!O42)</f>
        <v>6.15</v>
      </c>
      <c r="O43" s="231"/>
      <c r="Q43" s="89" t="str">
        <f>+DIM!AD15</f>
        <v>1C</v>
      </c>
      <c r="R43" s="233">
        <f>+IF(DIM!$AD$15=polyseac!$H$15,polyseac!R42,polyseac!S42)</f>
        <v>4.7</v>
      </c>
      <c r="S43" s="234"/>
      <c r="T43" s="233">
        <f>+IF(DIM!$AD$15=polyseac!$H$15,polyseac!T42,polyseac!U42)</f>
        <v>4.97</v>
      </c>
      <c r="U43" s="234"/>
      <c r="V43" s="233">
        <f>+IF(DIM!$AD$15=polyseac!$H$15,polyseac!V42,polyseac!W42)</f>
        <v>5.0999999999999996</v>
      </c>
      <c r="W43" s="234"/>
      <c r="X43" s="233">
        <f>+IF(DIM!$AD$15=polyseac!$H$15,polyseac!X42,polyseac!Y42)</f>
        <v>4.95</v>
      </c>
      <c r="Y43" s="234"/>
      <c r="AA43" s="89" t="str">
        <f>+DIM!AD15</f>
        <v>1C</v>
      </c>
      <c r="AB43" s="233">
        <f>+IF(DIM!$AD$15=polyseac!$H$15,polyseac!AB42,polyseac!AC42)</f>
        <v>6.3</v>
      </c>
      <c r="AC43" s="234"/>
      <c r="AD43" s="233">
        <f>+IF(DIM!$AD$15=polyseac!$H$15,polyseac!AD42,polyseac!AE42)</f>
        <v>6.7</v>
      </c>
      <c r="AE43" s="234"/>
      <c r="AF43" s="233">
        <f>+IF(DIM!$AD$15=polyseac!$H$15,polyseac!AF42,polyseac!AG42)</f>
        <v>6.85</v>
      </c>
      <c r="AG43" s="234"/>
      <c r="AH43" s="233">
        <f>+IF(DIM!$AD$15=polyseac!$H$15,polyseac!AH42,polyseac!AI42)</f>
        <v>7.05</v>
      </c>
      <c r="AI43" s="234"/>
      <c r="AK43" s="89" t="str">
        <f>+DIM!AD15</f>
        <v>1C</v>
      </c>
      <c r="AL43" s="233">
        <f>+IF(DIM!$AD$15=polyseac!$H$15,polyseac!AL42,polyseac!AM42)</f>
        <v>5.2</v>
      </c>
      <c r="AM43" s="234"/>
      <c r="AN43" s="233">
        <f>+IF(DIM!$AD$15=polyseac!$H$15,polyseac!AN42,polyseac!AO42)</f>
        <v>5.9</v>
      </c>
      <c r="AO43" s="234"/>
      <c r="AP43" s="233">
        <f>+IF(DIM!$AD$15=polyseac!$H$15,polyseac!AP42,polyseac!AQ42)</f>
        <v>6</v>
      </c>
      <c r="AQ43" s="234"/>
      <c r="AR43" s="233">
        <f>+IF(DIM!$AD$15=polyseac!$H$15,polyseac!AR42,polyseac!AS42)</f>
        <v>5.9</v>
      </c>
      <c r="AS43" s="234"/>
      <c r="AU43" s="89" t="str">
        <f>+AK43</f>
        <v>1C</v>
      </c>
      <c r="AV43" s="233">
        <f>+IF(DIM!$AD$15=polyseac!$H$15,polyseac!AV42,polyseac!AW42)</f>
        <v>7.55</v>
      </c>
      <c r="AW43" s="234"/>
      <c r="AX43" s="233">
        <f>+IF(DIM!$AD$15=polyseac!$H$15,polyseac!AX42,polyseac!AY42)</f>
        <v>7.8</v>
      </c>
      <c r="AY43" s="234"/>
      <c r="AZ43" s="233">
        <f>+IF(DIM!$AD$15=polyseac!$H$15,polyseac!AZ42,polyseac!BA42)</f>
        <v>7.9</v>
      </c>
      <c r="BA43" s="234"/>
      <c r="BB43" s="233">
        <f>+IF(DIM!$AD$15=polyseac!$H$15,polyseac!BB42,polyseac!BC42)</f>
        <v>8.0500000000000007</v>
      </c>
      <c r="BC43" s="234"/>
      <c r="BE43" s="89" t="str">
        <f>+AU43</f>
        <v>1C</v>
      </c>
      <c r="BF43" s="233">
        <f>+IF(DIM!$AD$15=polyseac!$H$15,polyseac!BF42,polyseac!BG42)</f>
        <v>6.05</v>
      </c>
      <c r="BG43" s="234"/>
      <c r="BH43" s="233">
        <f>+IF(DIM!$AD$15=polyseac!$H$15,polyseac!BH42,polyseac!BI42)</f>
        <v>5.9</v>
      </c>
      <c r="BI43" s="234"/>
      <c r="BJ43" s="233">
        <f>+IF(DIM!$AD$15=polyseac!$H$15,polyseac!BJ42,polyseac!BK42)</f>
        <v>5.75</v>
      </c>
      <c r="BK43" s="234"/>
      <c r="BL43" s="233">
        <f>+IF(DIM!$AD$15=polyseac!$H$15,polyseac!BL42,polyseac!BM42)</f>
        <v>5.6</v>
      </c>
      <c r="BM43" s="234"/>
    </row>
    <row r="44" spans="5:65" hidden="1" x14ac:dyDescent="0.2">
      <c r="F44" s="89" t="s">
        <v>48</v>
      </c>
      <c r="G44" s="94">
        <f>+DIM!S32</f>
        <v>5</v>
      </c>
      <c r="K44" s="95">
        <f>+HLOOKUP(G44,H14:O43,30,FALSE)</f>
        <v>5.7</v>
      </c>
      <c r="Q44" s="94">
        <f>+DIM!S32</f>
        <v>5</v>
      </c>
      <c r="U44" s="95">
        <f>+HLOOKUP(Q44,R14:Y43,30,FALSE)</f>
        <v>4.7</v>
      </c>
      <c r="AA44" s="94">
        <f>+DIM!S32</f>
        <v>5</v>
      </c>
      <c r="AE44" s="95">
        <f>+HLOOKUP(AA44,AB14:AI43,30,FALSE)</f>
        <v>6.3</v>
      </c>
      <c r="AK44" s="93">
        <f>+DIM!S32</f>
        <v>5</v>
      </c>
      <c r="AO44" s="95">
        <f>+HLOOKUP(AK44,AL14:AS43,30,FALSE)</f>
        <v>5.2</v>
      </c>
      <c r="AU44" s="93">
        <f>+DIM!S32</f>
        <v>5</v>
      </c>
      <c r="AY44" s="95">
        <f>+HLOOKUP(AU44,AV14:BC43,30,FALSE)</f>
        <v>7.55</v>
      </c>
      <c r="BE44" s="93">
        <f>+AU44</f>
        <v>5</v>
      </c>
      <c r="BI44" s="95">
        <f>+HLOOKUP(BE44,BF14:BM43,30,FALSE)</f>
        <v>6.05</v>
      </c>
    </row>
    <row r="45" spans="5:65" hidden="1" x14ac:dyDescent="0.2">
      <c r="E45" s="89">
        <f>+DIM!Q32</f>
        <v>12</v>
      </c>
      <c r="F45" s="89" t="s">
        <v>65</v>
      </c>
      <c r="G45" s="89" t="str">
        <f>+E45&amp;"+"&amp;G44</f>
        <v>12+5</v>
      </c>
      <c r="K45" s="96" t="str">
        <f>+K10&amp;"+"&amp;G44</f>
        <v>12+5</v>
      </c>
      <c r="U45" s="96" t="str">
        <f>+T10&amp;"+"&amp;Q44</f>
        <v>12+5</v>
      </c>
      <c r="AE45" s="96" t="str">
        <f>+AD10&amp;"+"&amp;AA44</f>
        <v>15+5</v>
      </c>
      <c r="AO45" s="96" t="str">
        <f>+AN10&amp;"+"&amp;AK44</f>
        <v>15+5</v>
      </c>
      <c r="AY45" s="96" t="str">
        <f>+AX10&amp;"+"&amp;AU44</f>
        <v>20+5</v>
      </c>
      <c r="BI45" s="96" t="str">
        <f>+BH10&amp;"+"&amp;BE44</f>
        <v>20+5</v>
      </c>
    </row>
    <row r="46" spans="5:65" hidden="1" x14ac:dyDescent="0.2">
      <c r="F46" s="89" t="s">
        <v>66</v>
      </c>
      <c r="G46" s="89" t="str">
        <f>+DIM!S19</f>
        <v>sans etai</v>
      </c>
      <c r="K46" s="90">
        <f>+HLOOKUP(G44,H14:O40,27,FALSE)</f>
        <v>180</v>
      </c>
      <c r="U46" s="90">
        <f>+HLOOKUP(Q44,R14:Y40,27,FALSE)</f>
        <v>170</v>
      </c>
      <c r="AE46" s="90">
        <f>+HLOOKUP(AA44,AB14:AI40,27,FALSE)</f>
        <v>210</v>
      </c>
      <c r="AO46" s="90">
        <f>+HLOOKUP(AK44,AL14:AS40,27,FALSE)</f>
        <v>200</v>
      </c>
      <c r="AY46" s="90">
        <f>+HLOOKUP(AU44,AV14:BC40,27,FALSE)</f>
        <v>271</v>
      </c>
      <c r="BI46" s="90">
        <f>+HLOOKUP(BE44,BF14:BM40,27,FALSE)</f>
        <v>271</v>
      </c>
    </row>
    <row r="47" spans="5:65" hidden="1" x14ac:dyDescent="0.2">
      <c r="F47" s="89">
        <v>12</v>
      </c>
      <c r="G47" s="89">
        <f>+IF($G$46="avec etai",K44,U44)</f>
        <v>4.7</v>
      </c>
      <c r="H47" s="89">
        <f>+IF($G$46="avec etai",K46,U46)</f>
        <v>170</v>
      </c>
      <c r="I47" s="89">
        <f>+IF($G$46="avec etai",K47,U47)</f>
        <v>60</v>
      </c>
      <c r="J47" s="89">
        <f>+HLOOKUP(G45,H54:O56,3,FALSE)</f>
        <v>29.08</v>
      </c>
      <c r="K47" s="90">
        <f>+HLOOKUP(G44,H14:O41,28,FALSE)</f>
        <v>62</v>
      </c>
      <c r="U47" s="90">
        <f>+HLOOKUP(Q44,R14:Y41,28,FALSE)</f>
        <v>60</v>
      </c>
      <c r="AE47" s="90">
        <f>+HLOOKUP(AA44,AB14:AI41,28,FALSE)</f>
        <v>73</v>
      </c>
      <c r="AO47" s="90">
        <f>+HLOOKUP(AK44,AL14:AS41,28,FALSE)</f>
        <v>73</v>
      </c>
      <c r="AY47" s="90">
        <f>+HLOOKUP(AU44,AV14:BC41,28,FALSE)</f>
        <v>91</v>
      </c>
      <c r="BI47" s="90">
        <f>+HLOOKUP(BE44,BF14:BM41,28,FALSE)</f>
        <v>91</v>
      </c>
    </row>
    <row r="48" spans="5:65" ht="19.5" hidden="1" x14ac:dyDescent="0.3">
      <c r="F48" s="89">
        <v>15</v>
      </c>
      <c r="G48" s="89">
        <f>+IF($G$46="avec etai",AE44,AO44)</f>
        <v>5.2</v>
      </c>
      <c r="H48" s="89">
        <f>+IF($G$46="avec etai",AE46,AO46)</f>
        <v>200</v>
      </c>
      <c r="I48" s="89">
        <f>+IF($G$46="avec etai",AE47,AO47)</f>
        <v>73</v>
      </c>
      <c r="J48" s="89" t="e">
        <f>+HLOOKUP(G45,AB54:AI56,3,FALSE)</f>
        <v>#N/A</v>
      </c>
      <c r="L48" s="91">
        <v>12</v>
      </c>
      <c r="U48" s="91">
        <v>12</v>
      </c>
      <c r="AE48" s="91">
        <v>15</v>
      </c>
      <c r="AO48" s="91">
        <v>15</v>
      </c>
      <c r="AY48" s="91">
        <v>20</v>
      </c>
      <c r="BI48" s="91">
        <v>20</v>
      </c>
    </row>
    <row r="49" spans="5:65" hidden="1" x14ac:dyDescent="0.2">
      <c r="E49" s="90" t="s">
        <v>301</v>
      </c>
      <c r="F49" s="89">
        <v>20</v>
      </c>
      <c r="G49" s="89">
        <f>+IF($G$46="avec etai",AY44,BI44)</f>
        <v>6.05</v>
      </c>
      <c r="H49" s="89">
        <f>+IF($G$46="avec etai",AY46,BI46)</f>
        <v>271</v>
      </c>
      <c r="I49" s="89">
        <f>+IF($G$46="avec etai",AY47,BI47)</f>
        <v>91</v>
      </c>
      <c r="J49" s="89" t="e">
        <f>+HLOOKUP(G45,AV54:BC56,3,FALSE)</f>
        <v>#N/A</v>
      </c>
      <c r="L49" s="90" t="s">
        <v>78</v>
      </c>
      <c r="U49" s="90" t="s">
        <v>79</v>
      </c>
      <c r="AE49" s="90" t="s">
        <v>78</v>
      </c>
      <c r="AO49" s="90" t="s">
        <v>79</v>
      </c>
      <c r="AY49" s="90" t="s">
        <v>78</v>
      </c>
      <c r="BI49" s="90" t="s">
        <v>79</v>
      </c>
    </row>
    <row r="50" spans="5:65" hidden="1" x14ac:dyDescent="0.2">
      <c r="E50" s="89" t="s">
        <v>70</v>
      </c>
      <c r="F50" s="89" t="s">
        <v>74</v>
      </c>
      <c r="G50" s="89">
        <f>IF(E45&gt;20,"--",+VLOOKUP(+DIM!Q32,polyseac!F47:I49,2,FALSE))</f>
        <v>4.7</v>
      </c>
    </row>
    <row r="51" spans="5:65" hidden="1" x14ac:dyDescent="0.2">
      <c r="F51" s="89" t="s">
        <v>75</v>
      </c>
      <c r="G51" s="89">
        <f>IF(E45&gt;20,0,+VLOOKUP(+DIM!Q32,polyseac!F47:I49,3,FALSE))</f>
        <v>170</v>
      </c>
    </row>
    <row r="52" spans="5:65" hidden="1" x14ac:dyDescent="0.2">
      <c r="F52" s="89" t="s">
        <v>72</v>
      </c>
      <c r="G52" s="89">
        <f>IF(E45&gt;20,0,+VLOOKUP(+DIM!Q32,polyseac!F47:I49,4,FALSE))</f>
        <v>60</v>
      </c>
    </row>
    <row r="53" spans="5:65" hidden="1" x14ac:dyDescent="0.2">
      <c r="F53" s="89" t="s">
        <v>275</v>
      </c>
      <c r="G53" s="89">
        <f>IF(E45&gt;20,0,+VLOOKUP(+E45,F47:J49,5,FALSE))</f>
        <v>29.08</v>
      </c>
    </row>
    <row r="54" spans="5:65" hidden="1" x14ac:dyDescent="0.2">
      <c r="H54" s="232" t="s">
        <v>111</v>
      </c>
      <c r="I54" s="232"/>
      <c r="J54" s="232" t="s">
        <v>112</v>
      </c>
      <c r="K54" s="232"/>
      <c r="L54" s="232" t="s">
        <v>113</v>
      </c>
      <c r="M54" s="232"/>
      <c r="N54" s="232" t="s">
        <v>114</v>
      </c>
      <c r="O54" s="232"/>
      <c r="R54" s="232" t="s">
        <v>111</v>
      </c>
      <c r="S54" s="232"/>
      <c r="T54" s="232" t="s">
        <v>112</v>
      </c>
      <c r="U54" s="232"/>
      <c r="V54" s="232" t="s">
        <v>113</v>
      </c>
      <c r="W54" s="232"/>
      <c r="X54" s="232" t="s">
        <v>114</v>
      </c>
      <c r="Y54" s="232"/>
      <c r="AB54" s="232" t="s">
        <v>115</v>
      </c>
      <c r="AC54" s="232"/>
      <c r="AD54" s="232" t="s">
        <v>116</v>
      </c>
      <c r="AE54" s="232"/>
      <c r="AF54" s="232" t="s">
        <v>117</v>
      </c>
      <c r="AG54" s="232"/>
      <c r="AH54" s="232" t="s">
        <v>118</v>
      </c>
      <c r="AI54" s="232"/>
      <c r="AL54" s="232" t="s">
        <v>115</v>
      </c>
      <c r="AM54" s="232"/>
      <c r="AN54" s="232" t="s">
        <v>116</v>
      </c>
      <c r="AO54" s="232"/>
      <c r="AP54" s="232" t="s">
        <v>117</v>
      </c>
      <c r="AQ54" s="232"/>
      <c r="AR54" s="232" t="s">
        <v>118</v>
      </c>
      <c r="AS54" s="232"/>
      <c r="AV54" s="232" t="s">
        <v>119</v>
      </c>
      <c r="AW54" s="232"/>
      <c r="AX54" s="232" t="s">
        <v>120</v>
      </c>
      <c r="AY54" s="232"/>
      <c r="AZ54" s="232" t="s">
        <v>121</v>
      </c>
      <c r="BA54" s="232"/>
      <c r="BB54" s="232" t="s">
        <v>122</v>
      </c>
      <c r="BC54" s="232"/>
      <c r="BF54" s="232" t="s">
        <v>119</v>
      </c>
      <c r="BG54" s="232"/>
      <c r="BH54" s="232" t="s">
        <v>120</v>
      </c>
      <c r="BI54" s="232"/>
      <c r="BJ54" s="232" t="s">
        <v>121</v>
      </c>
      <c r="BK54" s="232"/>
      <c r="BL54" s="232" t="s">
        <v>122</v>
      </c>
      <c r="BM54" s="232"/>
    </row>
    <row r="55" spans="5:65" hidden="1" x14ac:dyDescent="0.2">
      <c r="F55" s="93">
        <f>+DIM!S10-0.01</f>
        <v>3.99</v>
      </c>
      <c r="H55" s="232">
        <f>+IF(H43&gt;$F$55,1,0)</f>
        <v>1</v>
      </c>
      <c r="I55" s="232"/>
      <c r="J55" s="232">
        <f>+IF(J43&gt;$F$55,1,0)</f>
        <v>1</v>
      </c>
      <c r="K55" s="232"/>
      <c r="L55" s="232">
        <f>+IF(L43&gt;$F$55,1,0)</f>
        <v>1</v>
      </c>
      <c r="M55" s="232"/>
      <c r="N55" s="232">
        <f>+IF(N43&gt;$F$55,1,0)</f>
        <v>1</v>
      </c>
      <c r="O55" s="232"/>
      <c r="R55" s="232">
        <f>+IF(R43&gt;$F$55,1,0)</f>
        <v>1</v>
      </c>
      <c r="S55" s="232"/>
      <c r="T55" s="232">
        <f>+IF(T43&gt;$F$55,1,0)</f>
        <v>1</v>
      </c>
      <c r="U55" s="232"/>
      <c r="V55" s="232">
        <f>+IF(V43&gt;$F$55,1,0)</f>
        <v>1</v>
      </c>
      <c r="W55" s="232"/>
      <c r="X55" s="232">
        <f>+IF(X43&gt;$F$55,1,0)</f>
        <v>1</v>
      </c>
      <c r="Y55" s="232"/>
      <c r="AB55" s="232">
        <f>+IF(AB43&gt;$F$55,1,0)</f>
        <v>1</v>
      </c>
      <c r="AC55" s="232"/>
      <c r="AD55" s="232">
        <f>+IF(AD43&gt;$F$55,1,0)</f>
        <v>1</v>
      </c>
      <c r="AE55" s="232"/>
      <c r="AF55" s="232">
        <f>+IF(AF43&gt;$F$55,1,0)</f>
        <v>1</v>
      </c>
      <c r="AG55" s="232"/>
      <c r="AH55" s="232">
        <f>+IF(AH43&gt;$F$55,1,0)</f>
        <v>1</v>
      </c>
      <c r="AI55" s="232"/>
      <c r="AL55" s="232">
        <f>+IF(AL43&gt;$F$55,1,0)</f>
        <v>1</v>
      </c>
      <c r="AM55" s="232"/>
      <c r="AN55" s="232">
        <f>+IF(AN43&gt;$F$55,1,0)</f>
        <v>1</v>
      </c>
      <c r="AO55" s="232"/>
      <c r="AP55" s="232">
        <f>+IF(AP43&gt;$F$55,1,0)</f>
        <v>1</v>
      </c>
      <c r="AQ55" s="232"/>
      <c r="AR55" s="232">
        <f>+IF(AR43&gt;$F$55,1,0)</f>
        <v>1</v>
      </c>
      <c r="AS55" s="232"/>
      <c r="AV55" s="232">
        <f>+IF(AV43&gt;$F$55,1,0)</f>
        <v>1</v>
      </c>
      <c r="AW55" s="232"/>
      <c r="AX55" s="232">
        <f>+IF(AX43&gt;$F$55,1,0)</f>
        <v>1</v>
      </c>
      <c r="AY55" s="232"/>
      <c r="AZ55" s="232">
        <f>+IF(AZ43&gt;$F$55,1,0)</f>
        <v>1</v>
      </c>
      <c r="BA55" s="232"/>
      <c r="BB55" s="232">
        <f>+IF(BB43&gt;$F$55,1,0)</f>
        <v>1</v>
      </c>
      <c r="BC55" s="232"/>
      <c r="BF55" s="232"/>
      <c r="BG55" s="232"/>
      <c r="BH55" s="232">
        <f>+IF(BH43&gt;$F$55,1,0)</f>
        <v>1</v>
      </c>
      <c r="BI55" s="232"/>
      <c r="BJ55" s="232">
        <f>+IF(BJ43&gt;$F$55,1,0)</f>
        <v>1</v>
      </c>
      <c r="BK55" s="232"/>
      <c r="BL55" s="232">
        <f>+IF(BL43&gt;$F$55,1,0)</f>
        <v>1</v>
      </c>
      <c r="BM55" s="232"/>
    </row>
    <row r="56" spans="5:65" hidden="1" x14ac:dyDescent="0.2">
      <c r="F56" s="89" t="s">
        <v>275</v>
      </c>
      <c r="G56" s="89">
        <f>+DIM!H18</f>
        <v>23</v>
      </c>
      <c r="H56" s="232">
        <f>+VLOOKUP(G56,F61:G66,2,FALSE)</f>
        <v>29.08</v>
      </c>
      <c r="I56" s="232"/>
      <c r="J56" s="232">
        <f>+VLOOKUP(G56,F61:G66,2,FALSE)+1.97</f>
        <v>31.049999999999997</v>
      </c>
      <c r="K56" s="232"/>
      <c r="L56" s="232">
        <f>+VLOOKUP(G56,F61:G66,2,FALSE)+3.94</f>
        <v>33.019999999999996</v>
      </c>
      <c r="M56" s="232"/>
      <c r="N56" s="232">
        <f>+VLOOKUP(G56,F61:G66,2,FALSE)+5.91</f>
        <v>34.989999999999995</v>
      </c>
      <c r="O56" s="232"/>
      <c r="R56" s="232">
        <f>+VLOOKUP(G56,P61:Q66,2,FALSE)</f>
        <v>29.43</v>
      </c>
      <c r="S56" s="232"/>
      <c r="T56" s="232">
        <f>+VLOOKUP(G56,F61:G66,2,FALSE)+1.97</f>
        <v>31.049999999999997</v>
      </c>
      <c r="U56" s="232"/>
      <c r="V56" s="232">
        <f>+VLOOKUP(G56,F61:G66,2,FALSE)+3.94</f>
        <v>33.019999999999996</v>
      </c>
      <c r="W56" s="232"/>
      <c r="X56" s="232">
        <f>+VLOOKUP(G56,F61:G66,2,FALSE)+5.91</f>
        <v>34.989999999999995</v>
      </c>
      <c r="Y56" s="232"/>
      <c r="AA56" s="89">
        <f>+G56</f>
        <v>23</v>
      </c>
      <c r="AB56" s="232">
        <f>+VLOOKUP(AA56,Z60:AA65,2,FALSE)</f>
        <v>31.74</v>
      </c>
      <c r="AC56" s="232"/>
      <c r="AD56" s="232">
        <f>+VLOOKUP(AA56,Z60:AA65,2,FALSE)+1.97</f>
        <v>33.71</v>
      </c>
      <c r="AE56" s="232"/>
      <c r="AF56" s="232">
        <v>35.68</v>
      </c>
      <c r="AG56" s="232"/>
      <c r="AH56" s="232">
        <f>+VLOOKUP(AA56,Z60:AA65,2,FALSE)+5.91</f>
        <v>37.65</v>
      </c>
      <c r="AI56" s="232"/>
      <c r="AL56" s="232">
        <f>+VLOOKUP(AA56,Z60:AA65,2,FALSE)</f>
        <v>31.74</v>
      </c>
      <c r="AM56" s="232"/>
      <c r="AN56" s="232">
        <f>+VLOOKUP(AA56,Z60:AA65,2,FALSE)+1.97</f>
        <v>33.71</v>
      </c>
      <c r="AO56" s="232"/>
      <c r="AP56" s="232">
        <f>+VLOOKUP(AA56,Z60:AA65,2,FALSE)+3.94</f>
        <v>35.68</v>
      </c>
      <c r="AQ56" s="232"/>
      <c r="AR56" s="232">
        <f>+VLOOKUP(AA56,Z60:AA65,2,FALSE)+5.91</f>
        <v>37.65</v>
      </c>
      <c r="AS56" s="232"/>
      <c r="AT56" s="89">
        <f>+G56</f>
        <v>23</v>
      </c>
      <c r="AV56" s="232">
        <f>+VLOOKUP(AT56,AT59:AU64,2,FALSE)</f>
        <v>37.47</v>
      </c>
      <c r="AW56" s="232"/>
      <c r="AX56" s="232">
        <f>+VLOOKUP(AT56,AT59:AU64,2,FALSE)+1.97</f>
        <v>39.44</v>
      </c>
      <c r="AY56" s="232"/>
      <c r="AZ56" s="232">
        <f>+VLOOKUP(AT56,AT59:AU64,2,FALSE)+3.94</f>
        <v>41.41</v>
      </c>
      <c r="BA56" s="232"/>
      <c r="BB56" s="232">
        <f>+VLOOKUP(AT56,AT59:AU64,2,FALSE)+5.91</f>
        <v>43.379999999999995</v>
      </c>
      <c r="BC56" s="232"/>
      <c r="BF56" s="232">
        <f>+VLOOKUP(AT56,AT59:AU64,2,FALSE)</f>
        <v>37.47</v>
      </c>
      <c r="BG56" s="232"/>
      <c r="BH56" s="232">
        <f>+VLOOKUP(AT56,AT59:AU64,2,FALSE)+1.97</f>
        <v>39.44</v>
      </c>
      <c r="BI56" s="232"/>
      <c r="BJ56" s="232">
        <f>+VLOOKUP(AT56,AT59:AU64,2,FALSE)+3.94</f>
        <v>41.41</v>
      </c>
      <c r="BK56" s="232"/>
      <c r="BL56" s="232">
        <f>+VLOOKUP(AT56,AT59:AU64,2,FALSE)+5.91</f>
        <v>43.379999999999995</v>
      </c>
      <c r="BM56" s="232"/>
    </row>
    <row r="57" spans="5:65" hidden="1" x14ac:dyDescent="0.2">
      <c r="T57" s="89" t="s">
        <v>164</v>
      </c>
    </row>
    <row r="58" spans="5:65" hidden="1" x14ac:dyDescent="0.2">
      <c r="K58" s="89" t="str">
        <f>+IF(H55=1,H54,IF(J55=1,J54,IF(L55=1,L54,IF(N55=1,N54,0))))</f>
        <v>12+5</v>
      </c>
      <c r="L58" s="89" t="str">
        <f>+AE58</f>
        <v>15+5</v>
      </c>
      <c r="M58" s="89" t="str">
        <f>+AY58</f>
        <v>20+5</v>
      </c>
      <c r="U58" s="89" t="str">
        <f>+IF(R55=1,R54,IF(T55=1,T54,IF(V55=1,V54,IF(X55=1,X54,0))))</f>
        <v>12+5</v>
      </c>
      <c r="V58" s="89" t="str">
        <f>+AO58</f>
        <v>15+5</v>
      </c>
      <c r="W58" s="89" t="str">
        <f>+BI58</f>
        <v>20+6</v>
      </c>
      <c r="AE58" s="89" t="str">
        <f>+IF(AB55=1,AB54,IF(AD55=1,AD54,IF(AF55=1,AF54,IF(AH55=1,AH54,0))))</f>
        <v>15+5</v>
      </c>
      <c r="AO58" s="89" t="str">
        <f>+IF(AL55=1,AL54,IF(AN55=1,AN54,IF(AP55=1,AP54,IF(AR55=1,AR54,0))))</f>
        <v>15+5</v>
      </c>
      <c r="AT58" s="120" t="s">
        <v>273</v>
      </c>
      <c r="AU58" s="120" t="s">
        <v>278</v>
      </c>
      <c r="AY58" s="89" t="str">
        <f>+IF(AV55=1,AV54,IF(AX55=1,AX54,IF(AZ55=1,AZ54,IF(BB55=1,BB54,0))))</f>
        <v>20+5</v>
      </c>
      <c r="BI58" s="89" t="str">
        <f>+IF(BF55=1,BF54,IF(BH55=1,BH54,IF(BJ55=1,BJ54,IF(BL55=1,BL54,0))))</f>
        <v>20+6</v>
      </c>
    </row>
    <row r="59" spans="5:65" hidden="1" x14ac:dyDescent="0.2">
      <c r="J59" s="90" t="str">
        <f>+IF(K58&gt;0,K58,IF(L58&gt;0,L58,IF(M58&gt;0,M58,"hors limites")))</f>
        <v>12+5</v>
      </c>
      <c r="T59" s="90" t="str">
        <f>+IF(U58&gt;0,U58,IF(V58&gt;0,V58,IF(W58&gt;0,W58,"hors limites")))</f>
        <v>12+5</v>
      </c>
      <c r="Z59" s="120" t="s">
        <v>273</v>
      </c>
      <c r="AA59" s="120" t="s">
        <v>276</v>
      </c>
      <c r="AT59" s="89">
        <v>11</v>
      </c>
      <c r="AU59" s="89">
        <v>45.29</v>
      </c>
    </row>
    <row r="60" spans="5:65" hidden="1" x14ac:dyDescent="0.2">
      <c r="E60" s="90" t="s">
        <v>164</v>
      </c>
      <c r="F60" s="120" t="s">
        <v>273</v>
      </c>
      <c r="G60" s="120" t="s">
        <v>277</v>
      </c>
      <c r="I60" s="89" t="s">
        <v>75</v>
      </c>
      <c r="J60" s="90">
        <f>+IF(K58&gt;0,K60,IF(L58&gt;0,L60,IF(M58&gt;0,M60,0)))</f>
        <v>180</v>
      </c>
      <c r="K60" s="89">
        <f>+HLOOKUP(J59,H13:O41,28,FALSE)</f>
        <v>180</v>
      </c>
      <c r="L60" s="89">
        <f>+HLOOKUP(L58,AB13:AI41,28,FALSE)</f>
        <v>210</v>
      </c>
      <c r="M60" s="89">
        <f>+HLOOKUP(M58,AV13:BC41,28,FALSE)</f>
        <v>271</v>
      </c>
      <c r="P60" s="120" t="s">
        <v>273</v>
      </c>
      <c r="Q60" s="120" t="s">
        <v>277</v>
      </c>
      <c r="S60" s="89" t="s">
        <v>75</v>
      </c>
      <c r="T60" s="90">
        <f>+IF(U58&gt;0,U60,IF(V58&gt;0,V60,IF(W58&gt;0,W60,0)))</f>
        <v>170</v>
      </c>
      <c r="U60" s="89">
        <f>+HLOOKUP(U58,R13:Y41,28,FALSE)</f>
        <v>170</v>
      </c>
      <c r="V60" s="89">
        <f>+HLOOKUP(V58,AL13:AS41,28,FALSE)</f>
        <v>200</v>
      </c>
      <c r="W60" s="89">
        <f>+HLOOKUP(W58,BF13:BM41,28,FALSE)</f>
        <v>294</v>
      </c>
      <c r="Z60" s="89">
        <v>11</v>
      </c>
      <c r="AA60" s="89">
        <v>39.56</v>
      </c>
      <c r="AT60" s="89">
        <v>15</v>
      </c>
      <c r="AU60" s="89">
        <v>45.29</v>
      </c>
    </row>
    <row r="61" spans="5:65" hidden="1" x14ac:dyDescent="0.2">
      <c r="F61" s="89">
        <v>11</v>
      </c>
      <c r="G61" s="89">
        <v>36.9</v>
      </c>
      <c r="I61" s="89" t="s">
        <v>72</v>
      </c>
      <c r="J61" s="90">
        <f>+IF(K58&gt;0,K61,IF(L58&gt;0,L61,IF(M58&gt;0,M61,0)))</f>
        <v>62</v>
      </c>
      <c r="K61" s="89">
        <f>+HLOOKUP(J59,H13:O41,29,FALSE)</f>
        <v>62</v>
      </c>
      <c r="L61" s="89">
        <f>+HLOOKUP(L58,AB13:AI41,29,FALSE)</f>
        <v>73</v>
      </c>
      <c r="M61" s="89">
        <f>+HLOOKUP(M58,AV13:BC41,29,FALSE)</f>
        <v>91</v>
      </c>
      <c r="P61" s="89">
        <v>11</v>
      </c>
      <c r="Q61" s="89">
        <v>37.24</v>
      </c>
      <c r="S61" s="89" t="s">
        <v>72</v>
      </c>
      <c r="T61" s="90">
        <f>+IF(U58&gt;0,U61,IF(V58&gt;0,V61,IF(W58&gt;0,W61,0)))</f>
        <v>60</v>
      </c>
      <c r="U61" s="89">
        <f>+HLOOKUP(U58,R13:Y41,29,FALSE)</f>
        <v>60</v>
      </c>
      <c r="V61" s="89">
        <f>+HLOOKUP(V58,AL13:AS41,29,FALSE)</f>
        <v>73</v>
      </c>
      <c r="W61" s="89">
        <f>+HLOOKUP(W58,BF13:BM41,29,FALSE)</f>
        <v>101</v>
      </c>
      <c r="Z61" s="89">
        <v>15</v>
      </c>
      <c r="AA61" s="89">
        <v>39.56</v>
      </c>
      <c r="AT61" s="89">
        <v>19</v>
      </c>
      <c r="AU61" s="89">
        <v>40.5</v>
      </c>
    </row>
    <row r="62" spans="5:65" hidden="1" x14ac:dyDescent="0.2">
      <c r="F62" s="89">
        <v>15</v>
      </c>
      <c r="G62" s="89">
        <v>36.9</v>
      </c>
      <c r="H62" s="89">
        <f>+DIM!H18</f>
        <v>23</v>
      </c>
      <c r="I62" s="89" t="s">
        <v>274</v>
      </c>
      <c r="J62" s="90">
        <f>+IF(K58&gt;0,K62,IF(L58&gt;0,L62,IF(M58&gt;0,M62,0)))</f>
        <v>29.08</v>
      </c>
      <c r="K62" s="89">
        <f>+HLOOKUP(K58,H54:O56,3,FALSE)</f>
        <v>29.08</v>
      </c>
      <c r="L62" s="89">
        <f>+HLOOKUP(L58,AB54:AI56,3,FALSE)</f>
        <v>31.74</v>
      </c>
      <c r="M62" s="89">
        <f>+HLOOKUP(M58,AV54:BC56,3,FALSE)</f>
        <v>37.47</v>
      </c>
      <c r="P62" s="89">
        <v>15</v>
      </c>
      <c r="Q62" s="89">
        <v>37.24</v>
      </c>
      <c r="S62" s="89" t="s">
        <v>274</v>
      </c>
      <c r="T62" s="90">
        <f>+IF(U58&gt;0,U62,IF(V58&gt;0,V62,IF(W58&gt;0,W62,0)))</f>
        <v>29.43</v>
      </c>
      <c r="U62" s="89">
        <f>+HLOOKUP(U58,R54:Y56,3,FALSE)</f>
        <v>29.43</v>
      </c>
      <c r="V62" s="89">
        <f>+HLOOKUP(V58,AL54:AS56,3,FALSE)</f>
        <v>31.74</v>
      </c>
      <c r="W62" s="89">
        <f>+HLOOKUP(W58,BF54:BM56,3,FALSE)</f>
        <v>39.44</v>
      </c>
      <c r="Z62" s="89">
        <v>19</v>
      </c>
      <c r="AA62" s="89">
        <v>34.770000000000003</v>
      </c>
      <c r="AT62" s="89">
        <v>23</v>
      </c>
      <c r="AU62" s="89">
        <v>37.47</v>
      </c>
    </row>
    <row r="63" spans="5:65" hidden="1" x14ac:dyDescent="0.2">
      <c r="F63" s="89">
        <v>19</v>
      </c>
      <c r="G63" s="89">
        <v>32.11</v>
      </c>
      <c r="P63" s="89">
        <v>19</v>
      </c>
      <c r="Q63" s="89">
        <v>32.450000000000003</v>
      </c>
      <c r="Z63" s="89">
        <v>23</v>
      </c>
      <c r="AA63" s="89">
        <v>31.74</v>
      </c>
      <c r="AT63" s="89">
        <v>27</v>
      </c>
      <c r="AU63" s="89">
        <v>37.47</v>
      </c>
    </row>
    <row r="64" spans="5:65" hidden="1" x14ac:dyDescent="0.2">
      <c r="F64" s="89">
        <v>23</v>
      </c>
      <c r="G64" s="89">
        <v>29.08</v>
      </c>
      <c r="P64" s="89">
        <v>23</v>
      </c>
      <c r="Q64" s="89">
        <v>29.43</v>
      </c>
      <c r="Z64" s="89">
        <v>27</v>
      </c>
      <c r="AA64" s="89">
        <v>31.74</v>
      </c>
      <c r="AT64" s="89">
        <v>30</v>
      </c>
      <c r="AU64" s="89">
        <v>37.47</v>
      </c>
    </row>
    <row r="65" spans="6:27" hidden="1" x14ac:dyDescent="0.2">
      <c r="F65" s="89">
        <v>27</v>
      </c>
      <c r="G65" s="89">
        <v>29.08</v>
      </c>
      <c r="P65" s="89">
        <v>27</v>
      </c>
      <c r="Q65" s="89">
        <v>29.43</v>
      </c>
      <c r="Z65" s="89">
        <v>30</v>
      </c>
      <c r="AA65" s="89">
        <v>31.74</v>
      </c>
    </row>
    <row r="66" spans="6:27" hidden="1" x14ac:dyDescent="0.2">
      <c r="F66" s="89">
        <v>30</v>
      </c>
      <c r="G66" s="89">
        <v>29.08</v>
      </c>
      <c r="P66" s="89">
        <v>30</v>
      </c>
      <c r="Q66" s="89">
        <v>29.43</v>
      </c>
    </row>
    <row r="67" spans="6:27" hidden="1" x14ac:dyDescent="0.2"/>
    <row r="68" spans="6:27" hidden="1" x14ac:dyDescent="0.2"/>
    <row r="69" spans="6:27" hidden="1" x14ac:dyDescent="0.2"/>
  </sheetData>
  <sheetProtection algorithmName="SHA-512" hashValue="mUNPDdo8GOA0CRYNH+Sxh0utlFoYool5WU71dckweUMTLDoWPw0pEDG9YIMkaeMCsGycTrT8o09RBgT+4Xd3Vg==" saltValue="qFNsEBFDQTP48vJrmZA11g==" spinCount="100000" sheet="1" objects="1" scenarios="1"/>
  <mergeCells count="176">
    <mergeCell ref="BH56:BI56"/>
    <mergeCell ref="BJ56:BK56"/>
    <mergeCell ref="BL56:BM56"/>
    <mergeCell ref="H56:I56"/>
    <mergeCell ref="J56:K56"/>
    <mergeCell ref="L56:M56"/>
    <mergeCell ref="N56:O56"/>
    <mergeCell ref="R56:S56"/>
    <mergeCell ref="T56:U56"/>
    <mergeCell ref="V56:W56"/>
    <mergeCell ref="X56:Y56"/>
    <mergeCell ref="AL56:AM56"/>
    <mergeCell ref="AB56:AC56"/>
    <mergeCell ref="AD56:AE56"/>
    <mergeCell ref="AF56:AG56"/>
    <mergeCell ref="AH56:AI56"/>
    <mergeCell ref="H54:I54"/>
    <mergeCell ref="J54:K54"/>
    <mergeCell ref="L54:M54"/>
    <mergeCell ref="N54:O54"/>
    <mergeCell ref="AR55:AS55"/>
    <mergeCell ref="AV54:AW54"/>
    <mergeCell ref="AX54:AY54"/>
    <mergeCell ref="AZ54:BA54"/>
    <mergeCell ref="BB54:BC54"/>
    <mergeCell ref="AF54:AG54"/>
    <mergeCell ref="AH54:AI54"/>
    <mergeCell ref="AL55:AM55"/>
    <mergeCell ref="AN55:AO55"/>
    <mergeCell ref="AP55:AQ55"/>
    <mergeCell ref="T55:U55"/>
    <mergeCell ref="V55:W55"/>
    <mergeCell ref="X55:Y55"/>
    <mergeCell ref="AB54:AC54"/>
    <mergeCell ref="AD54:AE54"/>
    <mergeCell ref="H55:I55"/>
    <mergeCell ref="J55:K55"/>
    <mergeCell ref="L55:M55"/>
    <mergeCell ref="N55:O55"/>
    <mergeCell ref="R55:S55"/>
    <mergeCell ref="X41:Y41"/>
    <mergeCell ref="BL41:BM41"/>
    <mergeCell ref="BJ41:BK41"/>
    <mergeCell ref="AL43:AM43"/>
    <mergeCell ref="AN43:AO43"/>
    <mergeCell ref="AP43:AQ43"/>
    <mergeCell ref="AR43:AS43"/>
    <mergeCell ref="BF43:BG43"/>
    <mergeCell ref="BH43:BI43"/>
    <mergeCell ref="BJ43:BK43"/>
    <mergeCell ref="AV43:AW43"/>
    <mergeCell ref="AX43:AY43"/>
    <mergeCell ref="BL43:BM43"/>
    <mergeCell ref="AV41:AW41"/>
    <mergeCell ref="AX41:AY41"/>
    <mergeCell ref="AZ41:BA41"/>
    <mergeCell ref="BB41:BC41"/>
    <mergeCell ref="AZ43:BA43"/>
    <mergeCell ref="BB43:BC43"/>
    <mergeCell ref="BH41:BI41"/>
    <mergeCell ref="BF41:BG41"/>
    <mergeCell ref="BL14:BM14"/>
    <mergeCell ref="AV14:AW14"/>
    <mergeCell ref="AX14:AY14"/>
    <mergeCell ref="BH14:BI14"/>
    <mergeCell ref="BJ14:BK14"/>
    <mergeCell ref="AZ14:BA14"/>
    <mergeCell ref="BB14:BC14"/>
    <mergeCell ref="BF14:BG14"/>
    <mergeCell ref="BL40:BM40"/>
    <mergeCell ref="AX40:AY40"/>
    <mergeCell ref="AV40:AW40"/>
    <mergeCell ref="AZ40:BA40"/>
    <mergeCell ref="BJ40:BK40"/>
    <mergeCell ref="BB40:BC40"/>
    <mergeCell ref="BF40:BG40"/>
    <mergeCell ref="BH40:BI40"/>
    <mergeCell ref="AL14:AM14"/>
    <mergeCell ref="H14:I14"/>
    <mergeCell ref="J14:K14"/>
    <mergeCell ref="L14:M14"/>
    <mergeCell ref="N14:O14"/>
    <mergeCell ref="H43:I43"/>
    <mergeCell ref="J43:K43"/>
    <mergeCell ref="L43:M43"/>
    <mergeCell ref="N43:O43"/>
    <mergeCell ref="H40:I40"/>
    <mergeCell ref="J40:K40"/>
    <mergeCell ref="L40:M40"/>
    <mergeCell ref="N40:O40"/>
    <mergeCell ref="H41:I41"/>
    <mergeCell ref="J41:K41"/>
    <mergeCell ref="L41:M41"/>
    <mergeCell ref="N41:O41"/>
    <mergeCell ref="R43:S43"/>
    <mergeCell ref="T43:U43"/>
    <mergeCell ref="V43:W43"/>
    <mergeCell ref="X43:Y43"/>
    <mergeCell ref="R41:S41"/>
    <mergeCell ref="T41:U41"/>
    <mergeCell ref="V41:W41"/>
    <mergeCell ref="AN14:AO14"/>
    <mergeCell ref="AP14:AQ14"/>
    <mergeCell ref="AR14:AS14"/>
    <mergeCell ref="AL54:AM54"/>
    <mergeCell ref="R14:S14"/>
    <mergeCell ref="T14:U14"/>
    <mergeCell ref="V14:W14"/>
    <mergeCell ref="X14:Y14"/>
    <mergeCell ref="R40:S40"/>
    <mergeCell ref="T40:U40"/>
    <mergeCell ref="V40:W40"/>
    <mergeCell ref="X40:Y40"/>
    <mergeCell ref="R54:S54"/>
    <mergeCell ref="T54:U54"/>
    <mergeCell ref="V54:W54"/>
    <mergeCell ref="X54:Y54"/>
    <mergeCell ref="AB14:AC14"/>
    <mergeCell ref="AD14:AE14"/>
    <mergeCell ref="AF14:AG14"/>
    <mergeCell ref="AH14:AI14"/>
    <mergeCell ref="AB43:AC43"/>
    <mergeCell ref="AD43:AE43"/>
    <mergeCell ref="AF43:AG43"/>
    <mergeCell ref="AH43:AI43"/>
    <mergeCell ref="AB55:AC55"/>
    <mergeCell ref="AD55:AE55"/>
    <mergeCell ref="AF55:AG55"/>
    <mergeCell ref="AH55:AI55"/>
    <mergeCell ref="BF55:BG55"/>
    <mergeCell ref="AN56:AO56"/>
    <mergeCell ref="AP56:AQ56"/>
    <mergeCell ref="AR56:AS56"/>
    <mergeCell ref="AV56:AW56"/>
    <mergeCell ref="AX56:AY56"/>
    <mergeCell ref="AZ56:BA56"/>
    <mergeCell ref="BB56:BC56"/>
    <mergeCell ref="BF56:BG56"/>
    <mergeCell ref="BH55:BI55"/>
    <mergeCell ref="BJ55:BK55"/>
    <mergeCell ref="BL55:BM55"/>
    <mergeCell ref="AN54:AO54"/>
    <mergeCell ref="AP54:AQ54"/>
    <mergeCell ref="AR54:AS54"/>
    <mergeCell ref="AV55:AW55"/>
    <mergeCell ref="AX55:AY55"/>
    <mergeCell ref="AZ55:BA55"/>
    <mergeCell ref="BB55:BC55"/>
    <mergeCell ref="BF54:BG54"/>
    <mergeCell ref="BH54:BI54"/>
    <mergeCell ref="BJ54:BK54"/>
    <mergeCell ref="BL54:BM54"/>
    <mergeCell ref="H13:I13"/>
    <mergeCell ref="J13:K13"/>
    <mergeCell ref="L13:M13"/>
    <mergeCell ref="N13:O13"/>
    <mergeCell ref="AB13:AC13"/>
    <mergeCell ref="AD13:AE13"/>
    <mergeCell ref="AF13:AG13"/>
    <mergeCell ref="AH13:AI13"/>
    <mergeCell ref="AL13:AM13"/>
    <mergeCell ref="BJ13:BK13"/>
    <mergeCell ref="BL13:BM13"/>
    <mergeCell ref="R13:S13"/>
    <mergeCell ref="T13:U13"/>
    <mergeCell ref="V13:W13"/>
    <mergeCell ref="X13:Y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</mergeCells>
  <phoneticPr fontId="26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2C4A-C03F-411A-AE9C-FD05237098DD}">
  <dimension ref="E9:BM123"/>
  <sheetViews>
    <sheetView showGridLines="0" topLeftCell="D1" zoomScale="115" zoomScaleNormal="115" workbookViewId="0">
      <selection activeCell="H150" sqref="H150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  <c r="AY10" s="97">
        <v>20</v>
      </c>
      <c r="BI10" s="97">
        <v>20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H12">
        <v>137</v>
      </c>
      <c r="K12" s="98"/>
      <c r="R12">
        <v>937</v>
      </c>
      <c r="U12" s="98"/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65" hidden="1" x14ac:dyDescent="0.2">
      <c r="H13" s="237" t="s">
        <v>111</v>
      </c>
      <c r="I13" s="237"/>
      <c r="J13" s="237" t="s">
        <v>112</v>
      </c>
      <c r="K13" s="237"/>
      <c r="L13" s="237" t="s">
        <v>113</v>
      </c>
      <c r="M13" s="237"/>
      <c r="N13" s="237" t="s">
        <v>114</v>
      </c>
      <c r="O13" s="237"/>
      <c r="R13" s="237" t="s">
        <v>111</v>
      </c>
      <c r="S13" s="237"/>
      <c r="T13" s="237" t="s">
        <v>112</v>
      </c>
      <c r="U13" s="237"/>
      <c r="V13" s="237" t="s">
        <v>113</v>
      </c>
      <c r="W13" s="237"/>
      <c r="X13" s="237" t="s">
        <v>114</v>
      </c>
      <c r="Y13" s="237"/>
      <c r="AB13" s="237" t="s">
        <v>115</v>
      </c>
      <c r="AC13" s="237"/>
      <c r="AD13" s="237" t="s">
        <v>116</v>
      </c>
      <c r="AE13" s="237"/>
      <c r="AF13" s="237" t="s">
        <v>117</v>
      </c>
      <c r="AG13" s="237"/>
      <c r="AH13" s="237" t="s">
        <v>118</v>
      </c>
      <c r="AI13" s="237"/>
      <c r="AL13" s="237" t="s">
        <v>115</v>
      </c>
      <c r="AM13" s="237"/>
      <c r="AN13" s="237" t="s">
        <v>116</v>
      </c>
      <c r="AO13" s="237"/>
      <c r="AP13" s="237" t="s">
        <v>117</v>
      </c>
      <c r="AQ13" s="237"/>
      <c r="AR13" s="237" t="s">
        <v>118</v>
      </c>
      <c r="AS13" s="237"/>
      <c r="AV13" s="237" t="s">
        <v>119</v>
      </c>
      <c r="AW13" s="237"/>
      <c r="AX13" s="237" t="s">
        <v>120</v>
      </c>
      <c r="AY13" s="237"/>
      <c r="AZ13" s="237" t="s">
        <v>121</v>
      </c>
      <c r="BA13" s="237"/>
      <c r="BB13" s="237" t="s">
        <v>122</v>
      </c>
      <c r="BC13" s="237"/>
      <c r="BF13" s="237" t="s">
        <v>119</v>
      </c>
      <c r="BG13" s="237"/>
      <c r="BH13" s="237" t="s">
        <v>120</v>
      </c>
      <c r="BI13" s="237"/>
      <c r="BJ13" s="237" t="s">
        <v>121</v>
      </c>
      <c r="BK13" s="237"/>
      <c r="BL13" s="237" t="s">
        <v>122</v>
      </c>
      <c r="BM13" s="237"/>
    </row>
    <row r="14" spans="7:65" hidden="1" x14ac:dyDescent="0.2">
      <c r="H14" s="237">
        <v>5</v>
      </c>
      <c r="I14" s="237"/>
      <c r="J14" s="237">
        <v>6</v>
      </c>
      <c r="K14" s="237"/>
      <c r="L14" s="237">
        <v>7</v>
      </c>
      <c r="M14" s="237"/>
      <c r="N14" s="237">
        <v>8</v>
      </c>
      <c r="O14" s="237"/>
      <c r="R14" s="237">
        <v>5</v>
      </c>
      <c r="S14" s="237"/>
      <c r="T14" s="237">
        <v>6</v>
      </c>
      <c r="U14" s="237"/>
      <c r="V14" s="237">
        <v>7</v>
      </c>
      <c r="W14" s="237"/>
      <c r="X14" s="237">
        <v>8</v>
      </c>
      <c r="Y14" s="237"/>
      <c r="AB14" s="237">
        <v>5</v>
      </c>
      <c r="AC14" s="237"/>
      <c r="AD14" s="237">
        <v>6</v>
      </c>
      <c r="AE14" s="237"/>
      <c r="AF14" s="237">
        <v>7</v>
      </c>
      <c r="AG14" s="237"/>
      <c r="AH14" s="237">
        <v>8</v>
      </c>
      <c r="AI14" s="237"/>
      <c r="AL14" s="237">
        <v>5</v>
      </c>
      <c r="AM14" s="237"/>
      <c r="AN14" s="237">
        <v>6</v>
      </c>
      <c r="AO14" s="237"/>
      <c r="AP14" s="237">
        <v>7</v>
      </c>
      <c r="AQ14" s="237"/>
      <c r="AR14" s="237">
        <v>8</v>
      </c>
      <c r="AS14" s="237"/>
      <c r="AV14" s="237">
        <v>5</v>
      </c>
      <c r="AW14" s="237"/>
      <c r="AX14" s="237">
        <v>6</v>
      </c>
      <c r="AY14" s="237"/>
      <c r="AZ14" s="237">
        <v>7</v>
      </c>
      <c r="BA14" s="237"/>
      <c r="BB14" s="237">
        <v>8</v>
      </c>
      <c r="BC14" s="237"/>
      <c r="BF14" s="237">
        <v>5</v>
      </c>
      <c r="BG14" s="237"/>
      <c r="BH14" s="237">
        <v>6</v>
      </c>
      <c r="BI14" s="237"/>
      <c r="BJ14" s="237">
        <v>7</v>
      </c>
      <c r="BK14" s="237"/>
      <c r="BL14" s="237">
        <v>8</v>
      </c>
      <c r="BM14" s="237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161</v>
      </c>
      <c r="R16">
        <v>5.4</v>
      </c>
      <c r="S16">
        <v>5.4</v>
      </c>
      <c r="T16">
        <v>5.2</v>
      </c>
      <c r="U16">
        <v>5.2</v>
      </c>
      <c r="V16">
        <v>5</v>
      </c>
      <c r="W16">
        <v>5</v>
      </c>
      <c r="X16">
        <v>4.9000000000000004</v>
      </c>
      <c r="Y16">
        <v>4.9000000000000004</v>
      </c>
      <c r="AA16" t="s">
        <v>161</v>
      </c>
      <c r="AB16">
        <v>7.05</v>
      </c>
      <c r="AC16">
        <v>7.6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161</v>
      </c>
      <c r="AL16">
        <v>5.2</v>
      </c>
      <c r="AM16">
        <v>5.2</v>
      </c>
      <c r="AN16">
        <v>6.3</v>
      </c>
      <c r="AO16">
        <v>6.35</v>
      </c>
      <c r="AP16">
        <v>6.2</v>
      </c>
      <c r="AQ16">
        <v>6.2</v>
      </c>
      <c r="AR16">
        <v>6</v>
      </c>
      <c r="AS16">
        <v>6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161</v>
      </c>
      <c r="BF16">
        <v>6.05</v>
      </c>
      <c r="BG16">
        <v>6.05</v>
      </c>
      <c r="BH16">
        <v>5.9</v>
      </c>
      <c r="BI16">
        <v>5.9</v>
      </c>
      <c r="BJ16">
        <v>5.75</v>
      </c>
      <c r="BK16">
        <v>5.75</v>
      </c>
      <c r="BL16">
        <v>5.6</v>
      </c>
      <c r="BM16">
        <v>5.6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5.4</v>
      </c>
      <c r="S17">
        <v>5.4</v>
      </c>
      <c r="T17">
        <v>5.2</v>
      </c>
      <c r="U17">
        <v>5.2</v>
      </c>
      <c r="V17">
        <v>5</v>
      </c>
      <c r="W17">
        <v>5</v>
      </c>
      <c r="X17">
        <v>4.9000000000000004</v>
      </c>
      <c r="Y17">
        <v>4.9000000000000004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5.2</v>
      </c>
      <c r="AM17">
        <v>5.2</v>
      </c>
      <c r="AN17">
        <v>6.3</v>
      </c>
      <c r="AO17">
        <v>6.35</v>
      </c>
      <c r="AP17">
        <v>6.2</v>
      </c>
      <c r="AQ17">
        <v>6.2</v>
      </c>
      <c r="AR17">
        <v>6</v>
      </c>
      <c r="AS17">
        <v>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6.05</v>
      </c>
      <c r="BG17">
        <v>6.05</v>
      </c>
      <c r="BH17">
        <v>5.9</v>
      </c>
      <c r="BI17">
        <v>5.9</v>
      </c>
      <c r="BJ17">
        <v>5.75</v>
      </c>
      <c r="BK17">
        <v>5.75</v>
      </c>
      <c r="BL17">
        <v>5.6</v>
      </c>
      <c r="BM17">
        <v>5.6</v>
      </c>
    </row>
    <row r="18" spans="7:65" hidden="1" x14ac:dyDescent="0.2">
      <c r="G18" t="s">
        <v>35</v>
      </c>
      <c r="H18">
        <v>5.5</v>
      </c>
      <c r="I18">
        <v>5.95</v>
      </c>
      <c r="J18">
        <v>5.65</v>
      </c>
      <c r="K18">
        <v>6.15</v>
      </c>
      <c r="L18">
        <v>5.85</v>
      </c>
      <c r="M18">
        <v>6.35</v>
      </c>
      <c r="N18">
        <v>6.05</v>
      </c>
      <c r="O18">
        <v>6.55</v>
      </c>
      <c r="Q18" t="s">
        <v>35</v>
      </c>
      <c r="R18">
        <v>5.2</v>
      </c>
      <c r="S18">
        <v>5.35</v>
      </c>
      <c r="T18">
        <v>5.15</v>
      </c>
      <c r="U18">
        <v>5.15</v>
      </c>
      <c r="V18">
        <v>5</v>
      </c>
      <c r="W18">
        <v>5</v>
      </c>
      <c r="X18">
        <v>4.8499999999999996</v>
      </c>
      <c r="Y18">
        <v>4.8499999999999996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5.2</v>
      </c>
      <c r="AM18">
        <v>5.2</v>
      </c>
      <c r="AN18">
        <v>6.11</v>
      </c>
      <c r="AO18">
        <v>6.35</v>
      </c>
      <c r="AP18">
        <v>6.15</v>
      </c>
      <c r="AQ18">
        <v>6.2</v>
      </c>
      <c r="AR18">
        <v>6</v>
      </c>
      <c r="AS18">
        <v>6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6.05</v>
      </c>
      <c r="BG18">
        <v>6.05</v>
      </c>
      <c r="BH18">
        <v>5.9</v>
      </c>
      <c r="BI18">
        <v>5.9</v>
      </c>
      <c r="BJ18">
        <v>5.75</v>
      </c>
      <c r="BK18">
        <v>5.75</v>
      </c>
      <c r="BL18">
        <v>5.6</v>
      </c>
      <c r="BM18">
        <v>5.6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5</v>
      </c>
      <c r="S19">
        <v>5.05</v>
      </c>
      <c r="T19">
        <v>5.05</v>
      </c>
      <c r="U19">
        <v>5.05</v>
      </c>
      <c r="V19">
        <v>4.9000000000000004</v>
      </c>
      <c r="W19">
        <v>4.9000000000000004</v>
      </c>
      <c r="X19">
        <v>4.8499999999999996</v>
      </c>
      <c r="Y19">
        <v>4.8499999999999996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5.2</v>
      </c>
      <c r="AM19">
        <v>5.2</v>
      </c>
      <c r="AN19">
        <v>5.9</v>
      </c>
      <c r="AO19">
        <v>6.25</v>
      </c>
      <c r="AP19">
        <v>5.95</v>
      </c>
      <c r="AQ19">
        <v>6.2</v>
      </c>
      <c r="AR19">
        <v>5.9</v>
      </c>
      <c r="AS19">
        <v>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6.05</v>
      </c>
      <c r="BG19">
        <v>6.05</v>
      </c>
      <c r="BH19">
        <v>5.9</v>
      </c>
      <c r="BI19">
        <v>5.9</v>
      </c>
      <c r="BJ19">
        <v>5.75</v>
      </c>
      <c r="BK19">
        <v>5.75</v>
      </c>
      <c r="BL19">
        <v>5.6</v>
      </c>
      <c r="BM19">
        <v>5.6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4.5999999999999996</v>
      </c>
      <c r="S20">
        <v>4.5999999999999996</v>
      </c>
      <c r="T20">
        <v>4.8</v>
      </c>
      <c r="U20">
        <v>4.95</v>
      </c>
      <c r="V20">
        <v>4.8</v>
      </c>
      <c r="W20">
        <v>4.9000000000000004</v>
      </c>
      <c r="X20">
        <v>4.7</v>
      </c>
      <c r="Y20">
        <v>4.75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5.2</v>
      </c>
      <c r="AM20">
        <v>5.2</v>
      </c>
      <c r="AN20">
        <v>5.75</v>
      </c>
      <c r="AO20">
        <v>6.05</v>
      </c>
      <c r="AP20">
        <v>5.8</v>
      </c>
      <c r="AQ20">
        <v>6.1</v>
      </c>
      <c r="AR20">
        <v>5.7</v>
      </c>
      <c r="AS20">
        <v>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6.05</v>
      </c>
      <c r="BG20">
        <v>6.05</v>
      </c>
      <c r="BH20">
        <v>5.8</v>
      </c>
      <c r="BI20">
        <v>5.9</v>
      </c>
      <c r="BJ20">
        <v>5.7</v>
      </c>
      <c r="BK20">
        <v>5.75</v>
      </c>
      <c r="BL20">
        <v>5.6</v>
      </c>
      <c r="BM20">
        <v>5.6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4.0999999999999996</v>
      </c>
      <c r="S21">
        <v>4.0999999999999996</v>
      </c>
      <c r="T21">
        <v>4.4000000000000004</v>
      </c>
      <c r="U21">
        <v>4.45</v>
      </c>
      <c r="V21">
        <v>4.7</v>
      </c>
      <c r="W21">
        <v>4.7</v>
      </c>
      <c r="X21">
        <v>4.9000000000000004</v>
      </c>
      <c r="Y21">
        <v>4.9000000000000004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4.8499999999999996</v>
      </c>
      <c r="AM21">
        <v>4.8499999999999996</v>
      </c>
      <c r="AN21">
        <v>5.55</v>
      </c>
      <c r="AO21">
        <v>5.75</v>
      </c>
      <c r="AP21">
        <v>5.55</v>
      </c>
      <c r="AQ21">
        <v>5.8</v>
      </c>
      <c r="AR21">
        <v>5.5</v>
      </c>
      <c r="AS21">
        <v>5.8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5.75</v>
      </c>
      <c r="BG21">
        <v>5.9</v>
      </c>
      <c r="BH21">
        <v>5.65</v>
      </c>
      <c r="BI21">
        <v>5.9</v>
      </c>
      <c r="BJ21">
        <v>5.6</v>
      </c>
      <c r="BK21">
        <v>5.75</v>
      </c>
      <c r="BL21">
        <v>5.5</v>
      </c>
      <c r="BM21">
        <v>5.6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3.65</v>
      </c>
      <c r="S22">
        <v>3.65</v>
      </c>
      <c r="T22">
        <v>3.9</v>
      </c>
      <c r="U22">
        <v>3.9</v>
      </c>
      <c r="V22">
        <v>4.0999999999999996</v>
      </c>
      <c r="W22">
        <v>4.0999999999999996</v>
      </c>
      <c r="X22">
        <v>4.3</v>
      </c>
      <c r="Y22">
        <v>4.3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4.55</v>
      </c>
      <c r="AM22">
        <v>4.55</v>
      </c>
      <c r="AN22">
        <v>5.3</v>
      </c>
      <c r="AO22">
        <v>5.6</v>
      </c>
      <c r="AP22">
        <v>5.35</v>
      </c>
      <c r="AQ22">
        <v>5.65</v>
      </c>
      <c r="AR22">
        <v>5.3</v>
      </c>
      <c r="AS22">
        <v>5.6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5.5</v>
      </c>
      <c r="BG22">
        <v>5.8</v>
      </c>
      <c r="BH22">
        <v>5.45</v>
      </c>
      <c r="BI22">
        <v>5.75</v>
      </c>
      <c r="BJ22">
        <v>5.4</v>
      </c>
      <c r="BK22">
        <v>5.65</v>
      </c>
      <c r="BL22">
        <v>5.3</v>
      </c>
      <c r="BM22">
        <v>5.6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3.2</v>
      </c>
      <c r="S23">
        <v>3.2</v>
      </c>
      <c r="T23">
        <v>3.4</v>
      </c>
      <c r="U23">
        <v>3.4</v>
      </c>
      <c r="V23">
        <v>3.6</v>
      </c>
      <c r="W23">
        <v>3.6</v>
      </c>
      <c r="X23">
        <v>3.8</v>
      </c>
      <c r="Y23">
        <v>3.8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4.05</v>
      </c>
      <c r="AM23">
        <v>4.05</v>
      </c>
      <c r="AN23">
        <v>5</v>
      </c>
      <c r="AO23">
        <v>5.3</v>
      </c>
      <c r="AP23">
        <v>5.0999999999999996</v>
      </c>
      <c r="AQ23">
        <v>5.35</v>
      </c>
      <c r="AR23">
        <v>5.05</v>
      </c>
      <c r="AS23">
        <v>5.35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5.8</v>
      </c>
      <c r="BH23">
        <v>5.25</v>
      </c>
      <c r="BI23">
        <v>5.5</v>
      </c>
      <c r="BJ23">
        <v>5.2</v>
      </c>
      <c r="BK23">
        <v>5.5</v>
      </c>
      <c r="BL23">
        <v>5.15</v>
      </c>
      <c r="BM23">
        <v>5.4</v>
      </c>
    </row>
    <row r="24" spans="7:65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R24">
        <v>5.2</v>
      </c>
      <c r="S24">
        <v>5.4</v>
      </c>
      <c r="T24">
        <v>5.15</v>
      </c>
      <c r="U24">
        <v>5.2</v>
      </c>
      <c r="V24">
        <v>5.05</v>
      </c>
      <c r="W24">
        <v>5.05</v>
      </c>
      <c r="X24">
        <v>4.9000000000000004</v>
      </c>
      <c r="Y24">
        <v>4.9000000000000004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162</v>
      </c>
      <c r="AL24">
        <v>5.2</v>
      </c>
      <c r="AM24">
        <v>5.2</v>
      </c>
      <c r="AN24">
        <v>5.9</v>
      </c>
      <c r="AO24">
        <v>6.25</v>
      </c>
      <c r="AP24">
        <v>6.2</v>
      </c>
      <c r="AQ24">
        <v>6.2</v>
      </c>
      <c r="AR24">
        <v>5.9</v>
      </c>
      <c r="AS24">
        <v>6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162</v>
      </c>
      <c r="BF24">
        <v>6.05</v>
      </c>
      <c r="BG24">
        <v>6.05</v>
      </c>
      <c r="BH24">
        <v>5.9</v>
      </c>
      <c r="BI24">
        <v>5.9</v>
      </c>
      <c r="BJ24">
        <v>5.75</v>
      </c>
      <c r="BK24">
        <v>5.75</v>
      </c>
      <c r="BL24">
        <v>5.6</v>
      </c>
      <c r="BM24">
        <v>5.6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4.9000000000000004</v>
      </c>
      <c r="S25">
        <v>4.9000000000000004</v>
      </c>
      <c r="T25">
        <v>5</v>
      </c>
      <c r="U25">
        <v>5.15</v>
      </c>
      <c r="V25">
        <v>4.9000000000000004</v>
      </c>
      <c r="W25">
        <v>5</v>
      </c>
      <c r="X25">
        <v>4.8</v>
      </c>
      <c r="Y25">
        <v>4.8499999999999996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5.2</v>
      </c>
      <c r="AM25">
        <v>5.2</v>
      </c>
      <c r="AN25">
        <v>5.9</v>
      </c>
      <c r="AO25">
        <v>6.25</v>
      </c>
      <c r="AP25">
        <v>6.2</v>
      </c>
      <c r="AQ25">
        <v>6.2</v>
      </c>
      <c r="AR25">
        <v>5.9</v>
      </c>
      <c r="AS25">
        <v>6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6.05</v>
      </c>
      <c r="BG25">
        <v>6.05</v>
      </c>
      <c r="BH25">
        <v>5.9</v>
      </c>
      <c r="BI25">
        <v>5.9</v>
      </c>
      <c r="BJ25">
        <v>5.75</v>
      </c>
      <c r="BK25">
        <v>5.75</v>
      </c>
      <c r="BL25">
        <v>5.6</v>
      </c>
      <c r="BM25">
        <v>5.6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4.5</v>
      </c>
      <c r="S26">
        <v>4.5</v>
      </c>
      <c r="T26">
        <v>4.75</v>
      </c>
      <c r="U26">
        <v>4.75</v>
      </c>
      <c r="V26">
        <v>4.8</v>
      </c>
      <c r="W26">
        <v>4.05</v>
      </c>
      <c r="X26">
        <v>4.7</v>
      </c>
      <c r="Y26">
        <v>4.9000000000000004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5.2</v>
      </c>
      <c r="AM26">
        <v>5.2</v>
      </c>
      <c r="AN26">
        <v>5.75</v>
      </c>
      <c r="AO26">
        <v>6.05</v>
      </c>
      <c r="AP26">
        <v>5.8</v>
      </c>
      <c r="AQ26">
        <v>6.1</v>
      </c>
      <c r="AR26">
        <v>5.75</v>
      </c>
      <c r="AS26">
        <v>6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6.05</v>
      </c>
      <c r="BG26">
        <v>6.05</v>
      </c>
      <c r="BH26">
        <v>5.9</v>
      </c>
      <c r="BI26">
        <v>5.9</v>
      </c>
      <c r="BJ26">
        <v>5.75</v>
      </c>
      <c r="BK26">
        <v>5.75</v>
      </c>
      <c r="BL26">
        <v>5.6</v>
      </c>
      <c r="BM26">
        <v>5.6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4.2</v>
      </c>
      <c r="S27">
        <v>4.2</v>
      </c>
      <c r="T27">
        <v>4.4000000000000004</v>
      </c>
      <c r="U27">
        <v>4.4000000000000004</v>
      </c>
      <c r="V27">
        <v>4.5</v>
      </c>
      <c r="W27">
        <v>4.5999999999999996</v>
      </c>
      <c r="X27">
        <v>4.55</v>
      </c>
      <c r="Y27">
        <v>4.8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4.95</v>
      </c>
      <c r="AM27">
        <v>5.15</v>
      </c>
      <c r="AN27">
        <v>5.6</v>
      </c>
      <c r="AO27">
        <v>5.9</v>
      </c>
      <c r="AP27">
        <v>5.65</v>
      </c>
      <c r="AQ27">
        <v>5.95</v>
      </c>
      <c r="AR27">
        <v>5.6</v>
      </c>
      <c r="AS27">
        <v>5.9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6.05</v>
      </c>
      <c r="BG27">
        <v>6.05</v>
      </c>
      <c r="BH27">
        <v>5.75</v>
      </c>
      <c r="BI27">
        <v>5.9</v>
      </c>
      <c r="BJ27">
        <v>5.75</v>
      </c>
      <c r="BK27">
        <v>5.75</v>
      </c>
      <c r="BL27">
        <v>5.6</v>
      </c>
      <c r="BM27">
        <v>5.6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3.85</v>
      </c>
      <c r="S28">
        <v>3.85</v>
      </c>
      <c r="T28">
        <v>4.05</v>
      </c>
      <c r="U28">
        <v>4.05</v>
      </c>
      <c r="V28">
        <v>4.3</v>
      </c>
      <c r="W28">
        <v>4.3</v>
      </c>
      <c r="X28">
        <v>4.5</v>
      </c>
      <c r="Y28">
        <v>4.5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4.8</v>
      </c>
      <c r="AM28">
        <v>4.8</v>
      </c>
      <c r="AN28">
        <v>5.45</v>
      </c>
      <c r="AO28">
        <v>5.75</v>
      </c>
      <c r="AP28">
        <v>5.5</v>
      </c>
      <c r="AQ28">
        <v>5.8</v>
      </c>
      <c r="AR28">
        <v>5.5</v>
      </c>
      <c r="AS28">
        <v>5.8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5.7</v>
      </c>
      <c r="BG28">
        <v>6.05</v>
      </c>
      <c r="BH28">
        <v>5.65</v>
      </c>
      <c r="BI28">
        <v>5.9</v>
      </c>
      <c r="BJ28">
        <v>5.6</v>
      </c>
      <c r="BK28">
        <v>5.75</v>
      </c>
      <c r="BL28">
        <v>5.5</v>
      </c>
      <c r="BM28">
        <v>5.6</v>
      </c>
    </row>
    <row r="29" spans="7:65" hidden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3.5</v>
      </c>
      <c r="S29">
        <v>3.5</v>
      </c>
      <c r="T29">
        <v>3.7</v>
      </c>
      <c r="U29">
        <v>3.7</v>
      </c>
      <c r="V29">
        <v>3.9</v>
      </c>
      <c r="W29">
        <v>3.9</v>
      </c>
      <c r="X29">
        <v>4.05</v>
      </c>
      <c r="Y29">
        <v>4.05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L29">
        <v>4.4000000000000004</v>
      </c>
      <c r="AM29">
        <v>4.4000000000000004</v>
      </c>
      <c r="AN29">
        <v>5.3</v>
      </c>
      <c r="AO29">
        <v>5.45</v>
      </c>
      <c r="AP29">
        <v>5.25</v>
      </c>
      <c r="AQ29">
        <v>5.6</v>
      </c>
      <c r="AR29">
        <v>5.25</v>
      </c>
      <c r="AS29">
        <v>5.6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5.6</v>
      </c>
      <c r="BG29">
        <v>5.85</v>
      </c>
      <c r="BH29">
        <v>5.55</v>
      </c>
      <c r="BI29">
        <v>5.85</v>
      </c>
      <c r="BJ29">
        <v>5.5</v>
      </c>
      <c r="BK29">
        <v>5.75</v>
      </c>
      <c r="BL29">
        <v>5.45</v>
      </c>
      <c r="BM29">
        <v>5.6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3.2</v>
      </c>
      <c r="S30">
        <v>3.2</v>
      </c>
      <c r="T30">
        <v>3.4</v>
      </c>
      <c r="U30">
        <v>3.4</v>
      </c>
      <c r="V30">
        <v>3.65</v>
      </c>
      <c r="W30">
        <v>3.65</v>
      </c>
      <c r="X30">
        <v>3.75</v>
      </c>
      <c r="Y30">
        <v>3.75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</v>
      </c>
      <c r="AM30">
        <v>4</v>
      </c>
      <c r="AN30">
        <v>5.0999999999999996</v>
      </c>
      <c r="AO30">
        <v>5.35</v>
      </c>
      <c r="AP30">
        <v>5.15</v>
      </c>
      <c r="AQ30">
        <v>5.45</v>
      </c>
      <c r="AR30">
        <v>5.15</v>
      </c>
      <c r="AS30">
        <v>5.45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5.4</v>
      </c>
      <c r="BG30">
        <v>5.7</v>
      </c>
      <c r="BH30">
        <v>5.35</v>
      </c>
      <c r="BI30">
        <v>5.65</v>
      </c>
      <c r="BJ30">
        <v>5.3</v>
      </c>
      <c r="BK30">
        <v>5.6</v>
      </c>
      <c r="BL30">
        <v>5.25</v>
      </c>
      <c r="BM30">
        <v>5.55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2.85</v>
      </c>
      <c r="S31">
        <v>2.85</v>
      </c>
      <c r="T31">
        <v>3.05</v>
      </c>
      <c r="U31">
        <v>3.05</v>
      </c>
      <c r="V31">
        <v>3.2</v>
      </c>
      <c r="W31">
        <v>3.2</v>
      </c>
      <c r="X31">
        <v>3.4</v>
      </c>
      <c r="Y31">
        <v>3.4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3.6</v>
      </c>
      <c r="AM31">
        <v>3.6</v>
      </c>
      <c r="AN31">
        <v>4.8499999999999996</v>
      </c>
      <c r="AO31">
        <v>5.15</v>
      </c>
      <c r="AP31">
        <v>4.95</v>
      </c>
      <c r="AQ31">
        <v>5.2</v>
      </c>
      <c r="AR31">
        <v>5</v>
      </c>
      <c r="AS31">
        <v>5.25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5.5</v>
      </c>
      <c r="BH31">
        <v>5.2</v>
      </c>
      <c r="BI31">
        <v>5.45</v>
      </c>
      <c r="BJ31">
        <v>5.15</v>
      </c>
      <c r="BK31">
        <v>5.4</v>
      </c>
      <c r="BL31">
        <v>5.0999999999999996</v>
      </c>
      <c r="BM31">
        <v>5.35</v>
      </c>
    </row>
    <row r="32" spans="7:65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R32">
        <v>4.05</v>
      </c>
      <c r="S32">
        <v>4.05</v>
      </c>
      <c r="T32">
        <v>4.3</v>
      </c>
      <c r="U32">
        <v>4.3</v>
      </c>
      <c r="V32">
        <v>4.5</v>
      </c>
      <c r="W32">
        <v>4.5</v>
      </c>
      <c r="X32">
        <v>4.6500000000000004</v>
      </c>
      <c r="Y32">
        <v>4.7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163</v>
      </c>
      <c r="AL32">
        <v>4.95</v>
      </c>
      <c r="AM32">
        <v>5.05</v>
      </c>
      <c r="AN32">
        <v>5.6</v>
      </c>
      <c r="AO32">
        <v>5.9</v>
      </c>
      <c r="AP32">
        <v>5.65</v>
      </c>
      <c r="AQ32">
        <v>6</v>
      </c>
      <c r="AR32">
        <v>5.6</v>
      </c>
      <c r="AS32">
        <v>5.95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163</v>
      </c>
      <c r="BF32">
        <v>6.05</v>
      </c>
      <c r="BG32">
        <v>6.05</v>
      </c>
      <c r="BH32">
        <v>5.65</v>
      </c>
      <c r="BI32">
        <v>5.9</v>
      </c>
      <c r="BJ32">
        <v>5.6</v>
      </c>
      <c r="BK32">
        <v>5.75</v>
      </c>
      <c r="BL32">
        <v>5.6</v>
      </c>
      <c r="BM32">
        <v>5.6</v>
      </c>
    </row>
    <row r="33" spans="5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3.8</v>
      </c>
      <c r="S33">
        <v>3.8</v>
      </c>
      <c r="T33">
        <v>4.05</v>
      </c>
      <c r="U33">
        <v>4.05</v>
      </c>
      <c r="V33">
        <v>4.3</v>
      </c>
      <c r="W33">
        <v>4.2</v>
      </c>
      <c r="X33">
        <v>4.4000000000000004</v>
      </c>
      <c r="Y33">
        <v>4.4000000000000004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4.7</v>
      </c>
      <c r="AM33">
        <v>4.7</v>
      </c>
      <c r="AN33">
        <v>5.45</v>
      </c>
      <c r="AO33">
        <v>5.75</v>
      </c>
      <c r="AP33">
        <v>5.5</v>
      </c>
      <c r="AQ33">
        <v>5.8</v>
      </c>
      <c r="AR33">
        <v>5.5</v>
      </c>
      <c r="AS33">
        <v>5.8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6.05</v>
      </c>
      <c r="BG33">
        <v>6.05</v>
      </c>
      <c r="BH33">
        <v>5.65</v>
      </c>
      <c r="BI33">
        <v>5.9</v>
      </c>
      <c r="BJ33">
        <v>5.6</v>
      </c>
      <c r="BK33">
        <v>5.75</v>
      </c>
      <c r="BL33">
        <v>5.6</v>
      </c>
      <c r="BM33">
        <v>5.6</v>
      </c>
    </row>
    <row r="34" spans="5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3.55</v>
      </c>
      <c r="S34">
        <v>3.55</v>
      </c>
      <c r="T34">
        <v>3.75</v>
      </c>
      <c r="U34">
        <v>3.75</v>
      </c>
      <c r="V34">
        <v>3.95</v>
      </c>
      <c r="W34">
        <v>3.95</v>
      </c>
      <c r="X34">
        <v>4.1500000000000004</v>
      </c>
      <c r="Y34">
        <v>4.1500000000000004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4.4000000000000004</v>
      </c>
      <c r="AM34">
        <v>4.4000000000000004</v>
      </c>
      <c r="AN34">
        <v>5.3</v>
      </c>
      <c r="AO34">
        <v>5.6</v>
      </c>
      <c r="AP34">
        <v>5.4</v>
      </c>
      <c r="AQ34">
        <v>5.7</v>
      </c>
      <c r="AR34">
        <v>5.4</v>
      </c>
      <c r="AS34">
        <v>5.65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5.6</v>
      </c>
      <c r="BG34">
        <v>5.9</v>
      </c>
      <c r="BH34">
        <v>5.55</v>
      </c>
      <c r="BI34">
        <v>5.85</v>
      </c>
      <c r="BJ34">
        <v>5.5</v>
      </c>
      <c r="BK34">
        <v>5.75</v>
      </c>
      <c r="BL34">
        <v>5.6</v>
      </c>
      <c r="BM34">
        <v>5.6</v>
      </c>
    </row>
    <row r="35" spans="5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3.3</v>
      </c>
      <c r="S35">
        <v>3.3</v>
      </c>
      <c r="T35">
        <v>3.5</v>
      </c>
      <c r="U35">
        <v>3.5</v>
      </c>
      <c r="V35">
        <v>3.6</v>
      </c>
      <c r="W35">
        <v>3.6</v>
      </c>
      <c r="X35">
        <v>3.9</v>
      </c>
      <c r="Y35">
        <v>3.9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4.1500000000000004</v>
      </c>
      <c r="AM35">
        <v>4.1500000000000004</v>
      </c>
      <c r="AN35">
        <v>5.2</v>
      </c>
      <c r="AO35">
        <v>5.45</v>
      </c>
      <c r="AP35">
        <v>5.25</v>
      </c>
      <c r="AQ35">
        <v>5.55</v>
      </c>
      <c r="AR35">
        <v>5.25</v>
      </c>
      <c r="AS35">
        <v>5.55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5.5</v>
      </c>
      <c r="BG35">
        <v>5.8</v>
      </c>
      <c r="BH35">
        <v>5.45</v>
      </c>
      <c r="BI35">
        <v>5.75</v>
      </c>
      <c r="BJ35">
        <v>5.4</v>
      </c>
      <c r="BK35">
        <v>5.7</v>
      </c>
      <c r="BL35">
        <v>5.35</v>
      </c>
      <c r="BM35">
        <v>5.6</v>
      </c>
    </row>
    <row r="36" spans="5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3.1</v>
      </c>
      <c r="S36">
        <v>3.1</v>
      </c>
      <c r="T36">
        <v>3.3</v>
      </c>
      <c r="U36">
        <v>3.3</v>
      </c>
      <c r="V36">
        <v>3.5</v>
      </c>
      <c r="W36">
        <v>3.5</v>
      </c>
      <c r="X36">
        <v>3.7</v>
      </c>
      <c r="Y36">
        <v>3.7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3.9</v>
      </c>
      <c r="AM36">
        <v>3.9</v>
      </c>
      <c r="AN36">
        <v>5.15</v>
      </c>
      <c r="AO36">
        <v>5.35</v>
      </c>
      <c r="AP36">
        <v>5.15</v>
      </c>
      <c r="AQ36">
        <v>5.45</v>
      </c>
      <c r="AR36">
        <v>5.15</v>
      </c>
      <c r="AS36">
        <v>5.45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5.4</v>
      </c>
      <c r="BG36">
        <v>5.7</v>
      </c>
      <c r="BH36">
        <v>5.35</v>
      </c>
      <c r="BI36">
        <v>5.65</v>
      </c>
      <c r="BJ36">
        <v>5.3</v>
      </c>
      <c r="BK36">
        <v>5.6</v>
      </c>
      <c r="BL36">
        <v>5.3</v>
      </c>
      <c r="BM36">
        <v>5.55</v>
      </c>
    </row>
    <row r="37" spans="5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2.85</v>
      </c>
      <c r="S37">
        <v>2.85</v>
      </c>
      <c r="T37">
        <v>3.05</v>
      </c>
      <c r="U37">
        <v>3.05</v>
      </c>
      <c r="V37">
        <v>3.35</v>
      </c>
      <c r="W37">
        <v>3.35</v>
      </c>
      <c r="X37">
        <v>3.4</v>
      </c>
      <c r="Y37">
        <v>3.4</v>
      </c>
      <c r="AA37" t="s">
        <v>82</v>
      </c>
      <c r="AB37">
        <f t="shared" ref="AB37" si="1">+(AB36+AB38)/2</f>
        <v>4.8000000000000007</v>
      </c>
      <c r="AC37">
        <f t="shared" ref="AC37" si="2">+(AC36+AC38)/2</f>
        <v>4.8000000000000007</v>
      </c>
      <c r="AD37">
        <f t="shared" ref="AD37" si="3">+(AD36+AD38)/2</f>
        <v>5.3</v>
      </c>
      <c r="AE37">
        <v>5.5</v>
      </c>
      <c r="AF37">
        <f t="shared" ref="AF37" si="4">+(AF36+AF38)/2</f>
        <v>5.45</v>
      </c>
      <c r="AG37">
        <f t="shared" ref="AG37" si="5">+(AG36+AG38)/2</f>
        <v>5.8</v>
      </c>
      <c r="AH37">
        <f t="shared" ref="AH37" si="6">+(AH36+AH38)/2</f>
        <v>5.6</v>
      </c>
      <c r="AI37">
        <v>5.95</v>
      </c>
      <c r="AK37" t="s">
        <v>82</v>
      </c>
      <c r="AL37">
        <v>3.6</v>
      </c>
      <c r="AM37">
        <v>3.6</v>
      </c>
      <c r="AN37">
        <v>4.95</v>
      </c>
      <c r="AO37">
        <v>5.15</v>
      </c>
      <c r="AP37">
        <v>5</v>
      </c>
      <c r="AQ37">
        <v>5.3</v>
      </c>
      <c r="AR37">
        <v>5.05</v>
      </c>
      <c r="AS37">
        <v>5.3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5.2</v>
      </c>
      <c r="BG37">
        <v>5.5</v>
      </c>
      <c r="BH37">
        <v>5.25</v>
      </c>
      <c r="BI37">
        <v>5.55</v>
      </c>
      <c r="BJ37">
        <v>5.25</v>
      </c>
      <c r="BK37">
        <v>5.5</v>
      </c>
      <c r="BL37">
        <v>5.2</v>
      </c>
      <c r="BM37">
        <v>5.5</v>
      </c>
    </row>
    <row r="38" spans="5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2.65</v>
      </c>
      <c r="S38">
        <v>2.65</v>
      </c>
      <c r="T38">
        <v>2.85</v>
      </c>
      <c r="U38">
        <v>2.85</v>
      </c>
      <c r="V38">
        <v>3</v>
      </c>
      <c r="W38">
        <v>3</v>
      </c>
      <c r="X38">
        <v>3.2</v>
      </c>
      <c r="Y38">
        <v>3.2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3.35</v>
      </c>
      <c r="AM38">
        <v>3.35</v>
      </c>
      <c r="AN38">
        <v>4.75</v>
      </c>
      <c r="AO38">
        <v>5.05</v>
      </c>
      <c r="AP38">
        <v>4.8499999999999996</v>
      </c>
      <c r="AQ38">
        <v>5.0999999999999996</v>
      </c>
      <c r="AR38">
        <v>4.9000000000000004</v>
      </c>
      <c r="AS38">
        <v>5.15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5.0999999999999996</v>
      </c>
      <c r="BG38">
        <v>5.4</v>
      </c>
      <c r="BH38">
        <v>5.0999999999999996</v>
      </c>
      <c r="BI38">
        <v>5.4</v>
      </c>
      <c r="BJ38">
        <v>5.0999999999999996</v>
      </c>
      <c r="BK38">
        <v>5.35</v>
      </c>
      <c r="BL38">
        <v>5.05</v>
      </c>
      <c r="BM38">
        <v>5.35</v>
      </c>
    </row>
    <row r="39" spans="5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2.4</v>
      </c>
      <c r="S39">
        <v>2.4</v>
      </c>
      <c r="T39">
        <v>2.5499999999999998</v>
      </c>
      <c r="U39">
        <v>2.5499999999999998</v>
      </c>
      <c r="V39">
        <v>2.7</v>
      </c>
      <c r="W39">
        <v>2.7</v>
      </c>
      <c r="X39">
        <v>2.9</v>
      </c>
      <c r="Y39">
        <v>2.9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3.05</v>
      </c>
      <c r="AM39">
        <v>3.05</v>
      </c>
      <c r="AN39">
        <v>4.5999999999999996</v>
      </c>
      <c r="AO39">
        <v>4.8499999999999996</v>
      </c>
      <c r="AP39">
        <v>4.6500000000000004</v>
      </c>
      <c r="AQ39">
        <v>4.95</v>
      </c>
      <c r="AR39">
        <v>4.7</v>
      </c>
      <c r="AS39">
        <v>5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4.95</v>
      </c>
      <c r="BG39">
        <v>5.2</v>
      </c>
      <c r="BH39">
        <v>4.95</v>
      </c>
      <c r="BI39">
        <v>5.2</v>
      </c>
      <c r="BJ39">
        <v>4.95</v>
      </c>
      <c r="BK39">
        <v>5.2</v>
      </c>
      <c r="BL39">
        <v>4.95</v>
      </c>
      <c r="BM39">
        <v>5.2</v>
      </c>
    </row>
    <row r="40" spans="5:65" hidden="1" x14ac:dyDescent="0.2">
      <c r="G40" t="s">
        <v>71</v>
      </c>
      <c r="H40" s="238">
        <v>188</v>
      </c>
      <c r="I40" s="238"/>
      <c r="J40" s="238">
        <v>211</v>
      </c>
      <c r="K40" s="238"/>
      <c r="L40" s="238">
        <v>235</v>
      </c>
      <c r="M40" s="238"/>
      <c r="N40" s="238">
        <v>257</v>
      </c>
      <c r="O40" s="238"/>
      <c r="R40" s="238">
        <v>179</v>
      </c>
      <c r="S40" s="238"/>
      <c r="T40" s="238">
        <v>202</v>
      </c>
      <c r="U40" s="238"/>
      <c r="V40" s="238">
        <v>225</v>
      </c>
      <c r="W40" s="238"/>
      <c r="X40" s="238">
        <v>248</v>
      </c>
      <c r="Y40" s="238"/>
      <c r="AB40" s="238">
        <v>195</v>
      </c>
      <c r="AC40" s="238"/>
      <c r="AD40" s="238">
        <v>233</v>
      </c>
      <c r="AE40" s="238"/>
      <c r="AF40" s="238">
        <v>256</v>
      </c>
      <c r="AG40" s="238"/>
      <c r="AH40" s="238">
        <v>279</v>
      </c>
      <c r="AI40" s="238"/>
      <c r="AL40" s="238">
        <v>198</v>
      </c>
      <c r="AM40" s="238"/>
      <c r="AN40" s="238">
        <v>233</v>
      </c>
      <c r="AO40" s="238"/>
      <c r="AP40" s="238">
        <v>256</v>
      </c>
      <c r="AQ40" s="238"/>
      <c r="AR40" s="238">
        <v>279</v>
      </c>
      <c r="AS40" s="238"/>
      <c r="AV40" s="238">
        <v>272</v>
      </c>
      <c r="AW40" s="238"/>
      <c r="AX40" s="238">
        <v>295</v>
      </c>
      <c r="AY40" s="238"/>
      <c r="AZ40" s="238">
        <v>318</v>
      </c>
      <c r="BA40" s="238"/>
      <c r="BB40" s="238">
        <v>341</v>
      </c>
      <c r="BC40" s="238"/>
      <c r="BF40" s="238">
        <v>272</v>
      </c>
      <c r="BG40" s="238"/>
      <c r="BH40" s="238">
        <v>295</v>
      </c>
      <c r="BI40" s="238"/>
      <c r="BJ40" s="238">
        <v>318</v>
      </c>
      <c r="BK40" s="238"/>
      <c r="BL40" s="238">
        <v>341</v>
      </c>
      <c r="BM40" s="238"/>
    </row>
    <row r="41" spans="5:65" hidden="1" x14ac:dyDescent="0.2">
      <c r="G41" t="s">
        <v>72</v>
      </c>
      <c r="H41" s="238">
        <v>62.5</v>
      </c>
      <c r="I41" s="238"/>
      <c r="J41" s="238">
        <v>72.5</v>
      </c>
      <c r="K41" s="238"/>
      <c r="L41" s="238">
        <v>82.5</v>
      </c>
      <c r="M41" s="238"/>
      <c r="N41" s="238">
        <v>92.5</v>
      </c>
      <c r="O41" s="238"/>
      <c r="R41" s="238">
        <v>61</v>
      </c>
      <c r="S41" s="238"/>
      <c r="T41" s="238">
        <v>71</v>
      </c>
      <c r="U41" s="238"/>
      <c r="V41" s="238">
        <v>81</v>
      </c>
      <c r="W41" s="238"/>
      <c r="X41" s="238">
        <v>91</v>
      </c>
      <c r="Y41" s="238"/>
      <c r="AB41" s="238">
        <v>69</v>
      </c>
      <c r="AC41" s="238"/>
      <c r="AD41" s="238">
        <v>76</v>
      </c>
      <c r="AE41" s="238"/>
      <c r="AF41" s="238">
        <v>84.5</v>
      </c>
      <c r="AG41" s="238"/>
      <c r="AH41" s="238">
        <v>94.5</v>
      </c>
      <c r="AI41" s="238"/>
      <c r="AL41" s="238">
        <v>69</v>
      </c>
      <c r="AM41" s="238"/>
      <c r="AN41" s="238">
        <v>76</v>
      </c>
      <c r="AO41" s="238"/>
      <c r="AP41" s="238">
        <v>84.5</v>
      </c>
      <c r="AQ41" s="238"/>
      <c r="AR41" s="238">
        <v>94.5</v>
      </c>
      <c r="AS41" s="238"/>
      <c r="AV41" s="238">
        <v>86</v>
      </c>
      <c r="AW41" s="238"/>
      <c r="AX41" s="238">
        <v>96</v>
      </c>
      <c r="AY41" s="238"/>
      <c r="AZ41" s="238">
        <v>106</v>
      </c>
      <c r="BA41" s="238"/>
      <c r="BB41" s="238">
        <v>116</v>
      </c>
      <c r="BC41" s="238"/>
      <c r="BF41" s="238">
        <v>86</v>
      </c>
      <c r="BG41" s="238"/>
      <c r="BH41" s="238">
        <v>96</v>
      </c>
      <c r="BI41" s="238"/>
      <c r="BJ41" s="238">
        <v>106</v>
      </c>
      <c r="BK41" s="238"/>
      <c r="BL41" s="238">
        <v>116</v>
      </c>
      <c r="BM41" s="238"/>
    </row>
    <row r="42" spans="5:65" hidden="1" x14ac:dyDescent="0.2">
      <c r="E42" t="s">
        <v>49</v>
      </c>
      <c r="G42" t="str">
        <f>+DIM!$AK$20&amp;"+"&amp;DIM!$S$14</f>
        <v>151+250</v>
      </c>
      <c r="H42" s="100">
        <f>+VLOOKUP($G$42,$G$16:$O$39,2,FALSE)</f>
        <v>5.05</v>
      </c>
      <c r="I42" s="100">
        <f>+VLOOKUP($G$42,$G$16:$O$39,3,FALSE)</f>
        <v>5.05</v>
      </c>
      <c r="J42" s="100">
        <f>+VLOOKUP($G$42,$G$16:$O$39,4,FALSE)</f>
        <v>5.3</v>
      </c>
      <c r="K42" s="100">
        <f>+VLOOKUP($G$42,$G$16:$O$39,5,FALSE)</f>
        <v>5.3</v>
      </c>
      <c r="L42" s="100">
        <f>+VLOOKUP($G$42,$G$16:$O$39,6,FALSE)</f>
        <v>5.5</v>
      </c>
      <c r="M42" s="100">
        <f>+VLOOKUP($G$42,$G$16:$O$39,7,FALSE)</f>
        <v>5.5</v>
      </c>
      <c r="N42" s="100">
        <f>+VLOOKUP($G$42,$G$16:$O$39,8,FALSE)</f>
        <v>5.75</v>
      </c>
      <c r="O42" s="100">
        <f>+VLOOKUP($G$42,$G$16:$O$39,9,FALSE)</f>
        <v>5.75</v>
      </c>
      <c r="Q42" t="str">
        <f>+DIM!$AK$20&amp;"+"&amp;DIM!$S$14</f>
        <v>151+250</v>
      </c>
      <c r="R42" s="100">
        <f>+VLOOKUP($Q$42,$Q$16:$Y$39,2,FALSE)</f>
        <v>4.5</v>
      </c>
      <c r="S42" s="100">
        <f>+VLOOKUP($Q$42,$Q$16:$Y$39,3,FALSE)</f>
        <v>4.5</v>
      </c>
      <c r="T42" s="100">
        <f>+VLOOKUP($Q$42,$Q$16:$Y$39,4,FALSE)</f>
        <v>4.75</v>
      </c>
      <c r="U42" s="100">
        <f>+VLOOKUP($Q$42,$Q$16:$Y$39,5,FALSE)</f>
        <v>4.75</v>
      </c>
      <c r="V42" s="100">
        <f>+VLOOKUP($Q$42,$Q$16:$Y$39,6,FALSE)</f>
        <v>4.8</v>
      </c>
      <c r="W42" s="100">
        <f>+VLOOKUP($Q$42,$Q$16:$Y$39,7,FALSE)</f>
        <v>4.05</v>
      </c>
      <c r="X42" s="100">
        <f>+VLOOKUP($Q$42,$Q$16:$Y$39,8,FALSE)</f>
        <v>4.7</v>
      </c>
      <c r="Y42" s="100">
        <f>+VLOOKUP($Q$42,$Q$16:$Y$39,9,FALSE)</f>
        <v>4.9000000000000004</v>
      </c>
      <c r="AA42" t="str">
        <f>+DIM!$AK$20&amp;"+"&amp;DIM!$S$14</f>
        <v>151+250</v>
      </c>
      <c r="AB42" s="100">
        <f>+VLOOKUP($AA$42,$AA$16:$AI$41,2,FALSE)</f>
        <v>5.95</v>
      </c>
      <c r="AC42" s="100">
        <f>+VLOOKUP($AA$42,$AA$16:$AI$41,3,FALSE)</f>
        <v>6.35</v>
      </c>
      <c r="AD42" s="100">
        <f>+VLOOKUP($AA$42,$AA$16:$AI$41,4,FALSE)</f>
        <v>6.3</v>
      </c>
      <c r="AE42" s="100">
        <f>+VLOOKUP($AA$42,$AA$16:$AI$41,5,FALSE)</f>
        <v>6.7</v>
      </c>
      <c r="AF42" s="100">
        <f>+VLOOKUP($AA$42,$AA$16:$AI$41,6,FALSE)</f>
        <v>6.4</v>
      </c>
      <c r="AG42" s="100">
        <f>+VLOOKUP($AA$42,$AA$16:$AI$41,7,FALSE)</f>
        <v>6.85</v>
      </c>
      <c r="AH42" s="100">
        <f>+VLOOKUP($AA$42,$AA$16:$AI$41,8,FALSE)</f>
        <v>6.6</v>
      </c>
      <c r="AI42" s="100">
        <f>+VLOOKUP($AA$42,$AA$16:$AI$41,9,FALSE)</f>
        <v>7.05</v>
      </c>
      <c r="AK42" t="str">
        <f>+DIM!$AK$20&amp;"+"&amp;DIM!$S$14</f>
        <v>151+250</v>
      </c>
      <c r="AL42" s="100">
        <f>+VLOOKUP($AK$42,$AK$16:$AS$41,2,FALSE)</f>
        <v>5.2</v>
      </c>
      <c r="AM42" s="100">
        <f>+VLOOKUP($AK$42,$AK$16:$AS$41,3,FALSE)</f>
        <v>5.2</v>
      </c>
      <c r="AN42" s="100">
        <f>+VLOOKUP($AK$42,$AK$16:$AS$41,4,FALSE)</f>
        <v>5.75</v>
      </c>
      <c r="AO42" s="100">
        <f>+VLOOKUP($AK$42,$AK$16:$AS$41,5,FALSE)</f>
        <v>6.05</v>
      </c>
      <c r="AP42" s="100">
        <f>+VLOOKUP($AK$42,$AK$16:$AS$41,6,FALSE)</f>
        <v>5.8</v>
      </c>
      <c r="AQ42" s="100">
        <f>+VLOOKUP($AK$42,$AK$16:$AS$41,7,FALSE)</f>
        <v>6.1</v>
      </c>
      <c r="AR42" s="100">
        <f>+VLOOKUP($AK$42,$AK$16:$AS$41,8,FALSE)</f>
        <v>5.75</v>
      </c>
      <c r="AS42" s="100">
        <f>+VLOOKUP($AK$42,$AK$16:$AS$41,9,FALSE)</f>
        <v>6</v>
      </c>
      <c r="AU42" t="str">
        <f>+DIM!$AK$20&amp;"+"&amp;DIM!$S$14</f>
        <v>151+250</v>
      </c>
      <c r="AV42" s="100">
        <f>+VLOOKUP($AU$42,$AU$16:$BC$41,2,FALSE)</f>
        <v>7.05</v>
      </c>
      <c r="AW42" s="100">
        <f>+VLOOKUP($AU$42,$AU$16:$BC$41,3,FALSE)</f>
        <v>7.55</v>
      </c>
      <c r="AX42" s="100">
        <f>+VLOOKUP($AU$42,$AU$16:$BC$41,4,FALSE)</f>
        <v>7.25</v>
      </c>
      <c r="AY42" s="100">
        <f>+VLOOKUP($AU$42,$AU$16:$BC$41,5,FALSE)</f>
        <v>7.8</v>
      </c>
      <c r="AZ42" s="100">
        <f>+VLOOKUP($AU$42,$AU$16:$BC$41,6,FALSE)</f>
        <v>7.35</v>
      </c>
      <c r="BA42" s="100">
        <f>+VLOOKUP($AU$42,$AU$16:$BC$41,7,FALSE)</f>
        <v>7.9</v>
      </c>
      <c r="BB42" s="100">
        <f>+VLOOKUP($AU$42,$AU$16:$BC$41,8,FALSE)</f>
        <v>7.5</v>
      </c>
      <c r="BC42" s="100">
        <f>+VLOOKUP($AU$42,$AU$16:$BC$41,9,FALSE)</f>
        <v>8.0500000000000007</v>
      </c>
      <c r="BE42" t="str">
        <f>+DIM!$AK$20&amp;"+"&amp;DIM!$S$14</f>
        <v>151+250</v>
      </c>
      <c r="BF42" s="100">
        <f>+VLOOKUP($BE$42,$BE$16:$BM$41,2,FALSE)</f>
        <v>6.05</v>
      </c>
      <c r="BG42" s="100">
        <f>+VLOOKUP($BE$42,$BE$16:$BM$41,3,FALSE)</f>
        <v>6.05</v>
      </c>
      <c r="BH42" s="100">
        <f>+VLOOKUP($BE$42,$BE$16:$BM$41,4,FALSE)</f>
        <v>5.9</v>
      </c>
      <c r="BI42" s="100">
        <f>+VLOOKUP($BE$42,$BE$16:$BM$41,5,FALSE)</f>
        <v>5.9</v>
      </c>
      <c r="BJ42" s="100">
        <f>+VLOOKUP($BE$42,$BE$16:$BM$41,6,FALSE)</f>
        <v>5.75</v>
      </c>
      <c r="BK42" s="100">
        <f>+VLOOKUP($BE$42,$BE$16:$BM$41,7,FALSE)</f>
        <v>5.75</v>
      </c>
      <c r="BL42" s="100">
        <f>+VLOOKUP($BE$42,$BE$16:$BM$41,8,FALSE)</f>
        <v>5.6</v>
      </c>
      <c r="BM42" s="100">
        <f>+VLOOKUP($BE$42,$BE$16:$BM$41,9,FALSE)</f>
        <v>5.6</v>
      </c>
    </row>
    <row r="43" spans="5:65" hidden="1" x14ac:dyDescent="0.2">
      <c r="F43" t="s">
        <v>47</v>
      </c>
      <c r="G43" t="str">
        <f>+DIM!AD15</f>
        <v>1C</v>
      </c>
      <c r="H43" s="237">
        <f>+IF(DIM!$AD$15=ebsvs!$H$15,ebsvs!H42,ebsvs!I42)</f>
        <v>5.05</v>
      </c>
      <c r="I43" s="237"/>
      <c r="J43" s="237">
        <f>+IF(DIM!$AD$15=ebsvs!$H$15,ebsvs!J42,ebsvs!K42)</f>
        <v>5.3</v>
      </c>
      <c r="K43" s="237"/>
      <c r="L43" s="237">
        <f>+IF(DIM!$AD$15=ebsvs!$H$15,ebsvs!L42,ebsvs!M42)</f>
        <v>5.5</v>
      </c>
      <c r="M43" s="237"/>
      <c r="N43" s="237">
        <f>+IF(DIM!$AD$15=ebsvs!$H$15,ebsvs!N42,ebsvs!O42)</f>
        <v>5.75</v>
      </c>
      <c r="O43" s="237"/>
      <c r="Q43" t="str">
        <f>+DIM!AD15</f>
        <v>1C</v>
      </c>
      <c r="R43" s="235">
        <f>+IF(DIM!$AD$15=ebsvs!$H$15,ebsvs!R42,ebsvs!S42)</f>
        <v>4.5</v>
      </c>
      <c r="S43" s="236"/>
      <c r="T43" s="235">
        <f>+IF(DIM!$AD$15=ebsvs!$H$15,ebsvs!T42,ebsvs!U42)</f>
        <v>4.75</v>
      </c>
      <c r="U43" s="236"/>
      <c r="V43" s="235">
        <f>+IF(DIM!$AD$15=ebsvs!$H$15,ebsvs!V42,ebsvs!W42)</f>
        <v>4.05</v>
      </c>
      <c r="W43" s="236"/>
      <c r="X43" s="235">
        <f>+IF(DIM!$AD$15=ebsvs!$H$15,ebsvs!X42,ebsvs!Y42)</f>
        <v>4.9000000000000004</v>
      </c>
      <c r="Y43" s="236"/>
      <c r="AA43" t="str">
        <f>+DIM!AD15</f>
        <v>1C</v>
      </c>
      <c r="AB43" s="235">
        <f>+IF(DIM!$AD$15=ebsvs!$H$15,ebsvs!AB42,ebsvs!AC42)</f>
        <v>6.35</v>
      </c>
      <c r="AC43" s="236"/>
      <c r="AD43" s="235">
        <f>+IF(DIM!$AD$15=ebsvs!$H$15,ebsvs!AD42,ebsvs!AE42)</f>
        <v>6.7</v>
      </c>
      <c r="AE43" s="236"/>
      <c r="AF43" s="235">
        <f>+IF(DIM!$AD$15=ebsvs!$H$15,ebsvs!AF42,ebsvs!AG42)</f>
        <v>6.85</v>
      </c>
      <c r="AG43" s="236"/>
      <c r="AH43" s="235">
        <f>+IF(DIM!$AD$15=ebsvs!$H$15,ebsvs!AH42,ebsvs!AI42)</f>
        <v>7.05</v>
      </c>
      <c r="AI43" s="236"/>
      <c r="AK43" t="str">
        <f>+DIM!AD15</f>
        <v>1C</v>
      </c>
      <c r="AL43" s="235">
        <f>+IF(DIM!$AD$15=ebsvs!$H$15,ebsvs!AL42,ebsvs!AM42)</f>
        <v>5.2</v>
      </c>
      <c r="AM43" s="236"/>
      <c r="AN43" s="235">
        <f>+IF(DIM!$AD$15=ebsvs!$H$15,ebsvs!AN42,ebsvs!AO42)</f>
        <v>6.05</v>
      </c>
      <c r="AO43" s="236"/>
      <c r="AP43" s="235">
        <f>+IF(DIM!$AD$15=ebsvs!$H$15,ebsvs!AP42,ebsvs!AQ42)</f>
        <v>6.1</v>
      </c>
      <c r="AQ43" s="236"/>
      <c r="AR43" s="235">
        <f>+IF(DIM!$AD$15=ebsvs!$H$15,ebsvs!AR42,ebsvs!AS42)</f>
        <v>6</v>
      </c>
      <c r="AS43" s="236"/>
      <c r="AU43" t="str">
        <f>+AK43</f>
        <v>1C</v>
      </c>
      <c r="AV43" s="235">
        <f>+IF(DIM!$AD$15=ebsvs!$H$15,ebsvs!AV42,ebsvs!AW42)</f>
        <v>7.55</v>
      </c>
      <c r="AW43" s="236"/>
      <c r="AX43" s="235">
        <f>+IF(DIM!$AD$15=ebsvs!$H$15,ebsvs!AX42,ebsvs!AY42)</f>
        <v>7.8</v>
      </c>
      <c r="AY43" s="236"/>
      <c r="AZ43" s="235">
        <f>+IF(DIM!$AD$15=ebsvs!$H$15,ebsvs!AZ42,ebsvs!BA42)</f>
        <v>7.9</v>
      </c>
      <c r="BA43" s="236"/>
      <c r="BB43" s="235">
        <f>+IF(DIM!$AD$15=ebsvs!$H$15,ebsvs!BB42,ebsvs!BC42)</f>
        <v>8.0500000000000007</v>
      </c>
      <c r="BC43" s="236"/>
      <c r="BE43" t="str">
        <f>+AU43</f>
        <v>1C</v>
      </c>
      <c r="BF43" s="235">
        <f>+IF(DIM!$AD$15=ebsvs!$H$15,ebsvs!BF42,ebsvs!BG42)</f>
        <v>6.05</v>
      </c>
      <c r="BG43" s="236"/>
      <c r="BH43" s="235">
        <f>+IF(DIM!$AD$15=ebsvs!$H$15,ebsvs!BH42,ebsvs!BI42)</f>
        <v>5.9</v>
      </c>
      <c r="BI43" s="236"/>
      <c r="BJ43" s="235">
        <f>+IF(DIM!$AD$15=ebsvs!$H$15,ebsvs!BJ42,ebsvs!BK42)</f>
        <v>5.75</v>
      </c>
      <c r="BK43" s="236"/>
      <c r="BL43" s="235">
        <f>+IF(DIM!$AD$15=ebsvs!$H$15,ebsvs!BL42,ebsvs!BM42)</f>
        <v>5.6</v>
      </c>
      <c r="BM43" s="236"/>
    </row>
    <row r="44" spans="5:65" hidden="1" x14ac:dyDescent="0.2">
      <c r="F44" t="s">
        <v>48</v>
      </c>
      <c r="G44" s="101">
        <f>+DIM!S32</f>
        <v>5</v>
      </c>
      <c r="K44" s="102">
        <f>+HLOOKUP(G44,H14:O43,30,FALSE)</f>
        <v>5.05</v>
      </c>
      <c r="Q44" s="101">
        <f>+DIM!S32</f>
        <v>5</v>
      </c>
      <c r="U44" s="102">
        <f>+HLOOKUP(Q44,R14:Y43,30,FALSE)</f>
        <v>4.5</v>
      </c>
      <c r="AA44" s="101">
        <f>+DIM!S32</f>
        <v>5</v>
      </c>
      <c r="AE44" s="102">
        <f>+HLOOKUP(AA44,AB14:AI43,30,FALSE)</f>
        <v>6.35</v>
      </c>
      <c r="AK44" s="101">
        <f>+AA44</f>
        <v>5</v>
      </c>
      <c r="AO44" s="102">
        <f>+HLOOKUP(AK44,AL14:AS43,30,FALSE)</f>
        <v>5.2</v>
      </c>
      <c r="AU44" s="100">
        <f>+AK44</f>
        <v>5</v>
      </c>
      <c r="AY44" s="102">
        <f>+HLOOKUP(AU44,AV14:BC43,30,FALSE)</f>
        <v>7.55</v>
      </c>
      <c r="BE44" s="101">
        <f>+AU44</f>
        <v>5</v>
      </c>
      <c r="BI44" s="102">
        <f>+HLOOKUP(BE44,BF14:BM43,30,FALSE)</f>
        <v>6.05</v>
      </c>
    </row>
    <row r="45" spans="5:65" hidden="1" x14ac:dyDescent="0.2">
      <c r="E45">
        <f>+DIM!Q32</f>
        <v>12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5:65" hidden="1" x14ac:dyDescent="0.2">
      <c r="F46" t="s">
        <v>66</v>
      </c>
      <c r="G46" t="str">
        <f>+DIM!S19</f>
        <v>sans etai</v>
      </c>
      <c r="K46" s="98">
        <f>+HLOOKUP(G44,H14:O40,27,FALSE)</f>
        <v>188</v>
      </c>
      <c r="U46" s="98">
        <f>+HLOOKUP(Q44,R14:Y40,27,FALSE)</f>
        <v>179</v>
      </c>
      <c r="AE46" s="98">
        <f>+HLOOKUP(AA44,AB14:AI40,27,FALSE)</f>
        <v>195</v>
      </c>
      <c r="AO46" s="98">
        <f>+HLOOKUP(AK44,AL14:AS40,27,FALSE)</f>
        <v>198</v>
      </c>
      <c r="AY46" s="98">
        <f>+HLOOKUP(AU44,AV14:BC40,27,FALSE)</f>
        <v>272</v>
      </c>
      <c r="BI46" s="98">
        <f>+HLOOKUP(BE44,BF14:BM40,27,FALSE)</f>
        <v>272</v>
      </c>
    </row>
    <row r="47" spans="5:65" hidden="1" x14ac:dyDescent="0.2">
      <c r="F47">
        <v>12</v>
      </c>
      <c r="G47">
        <f>+IF($G$46="avec etai",K44,U44)</f>
        <v>4.5</v>
      </c>
      <c r="H47">
        <f>+IF($G$46="avec etai",K46,U46)</f>
        <v>179</v>
      </c>
      <c r="I47">
        <f>+IF($G$46="avec etai",K47,U47)</f>
        <v>61</v>
      </c>
      <c r="J47">
        <f>+IF($G$46="avec etai",K48,U48)</f>
        <v>15.19</v>
      </c>
      <c r="K47" s="98">
        <f>+HLOOKUP(G44,H14:O41,28,FALSE)</f>
        <v>62.5</v>
      </c>
      <c r="U47" s="98">
        <f>+HLOOKUP(Q44,R14:Y41,28,FALSE)</f>
        <v>61</v>
      </c>
      <c r="AE47" s="98">
        <f>+HLOOKUP(AA44,AB14:AI41,28,FALSE)</f>
        <v>69</v>
      </c>
      <c r="AO47" s="98">
        <f>+HLOOKUP(AK44,AL14:AS41,28,FALSE)</f>
        <v>69</v>
      </c>
      <c r="AY47" s="98">
        <f>+HLOOKUP(AU44,AV14:BC41,28,FALSE)</f>
        <v>86</v>
      </c>
      <c r="BI47" s="98">
        <f>+HLOOKUP(BE44,BF14:BM41,28,FALSE)</f>
        <v>86</v>
      </c>
    </row>
    <row r="48" spans="5:65" hidden="1" x14ac:dyDescent="0.2">
      <c r="F48">
        <v>15</v>
      </c>
      <c r="G48">
        <f>+IF($G$46="avec etai",AE44,AO44)</f>
        <v>5.2</v>
      </c>
      <c r="H48">
        <f>+IF($G$46="avec etai",AE46,AO46)</f>
        <v>198</v>
      </c>
      <c r="I48">
        <f>+IF($G$46="avec etai",AE47,AO47)</f>
        <v>69</v>
      </c>
      <c r="J48">
        <f>+IF($G$46="avec etai",AE48,AO48)</f>
        <v>16.72</v>
      </c>
      <c r="K48" s="98">
        <f>+HLOOKUP(K45,H113:O115,3,FALSE)</f>
        <v>14.85</v>
      </c>
      <c r="U48" s="98">
        <f>+HLOOKUP(U45,R113:Y115,3,FALSE)</f>
        <v>15.19</v>
      </c>
      <c r="AE48" s="98">
        <f>+HLOOKUP(AE45,AB113:AI115,3,FALSE)</f>
        <v>16.72</v>
      </c>
      <c r="AO48" s="98">
        <f>+HLOOKUP(AO45,AL113:AS115,3,FALSE)</f>
        <v>16.72</v>
      </c>
      <c r="AY48" s="98">
        <f>+HLOOKUP(AY45,AV113:BC115,3,FALSE)</f>
        <v>20.98</v>
      </c>
      <c r="BI48" s="98">
        <f>+HLOOKUP(BI45,BF113:BM115,3,FALSE)</f>
        <v>20.98</v>
      </c>
    </row>
    <row r="49" spans="5:65" ht="19.5" hidden="1" x14ac:dyDescent="0.35">
      <c r="F49">
        <v>20</v>
      </c>
      <c r="G49">
        <f>+IF($G$46="avec etai",AY44,BI44)</f>
        <v>6.05</v>
      </c>
      <c r="H49">
        <f>+IF($G$46="avec etai",AY46,BI46)</f>
        <v>272</v>
      </c>
      <c r="I49">
        <f>+IF($G$46="avec etaii",AY47,BI47)</f>
        <v>86</v>
      </c>
      <c r="J49">
        <f>+IF($G$46="avec etaii",AY48,BI48)</f>
        <v>20.98</v>
      </c>
      <c r="K49" s="97">
        <v>12</v>
      </c>
      <c r="U49" s="97">
        <v>12</v>
      </c>
      <c r="AE49" s="97">
        <v>15</v>
      </c>
      <c r="AO49" s="97">
        <v>15</v>
      </c>
      <c r="AY49" s="97">
        <v>20</v>
      </c>
      <c r="BI49" s="97">
        <v>20</v>
      </c>
    </row>
    <row r="50" spans="5:65" hidden="1" x14ac:dyDescent="0.2">
      <c r="E50" s="98" t="s">
        <v>301</v>
      </c>
      <c r="F50" t="s">
        <v>64</v>
      </c>
      <c r="G50">
        <f>IF($E$45&gt;20,"--",+VLOOKUP(DIM!Q32,ebsvs!F47:I49,2,FALSE))</f>
        <v>4.5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E51" s="98" t="s">
        <v>88</v>
      </c>
      <c r="F51" t="s">
        <v>75</v>
      </c>
      <c r="G51">
        <f>IF($E$45&gt;20,0,+VLOOKUP(DIM!Q32,ebsvs!F47:I49,3,FALSE))</f>
        <v>179</v>
      </c>
    </row>
    <row r="52" spans="5:65" hidden="1" x14ac:dyDescent="0.2">
      <c r="F52" t="s">
        <v>72</v>
      </c>
      <c r="G52">
        <f>IF($E$45&gt;20,0,+VLOOKUP(DIM!Q32,ebsvs!F47:I49,4,FALSE))</f>
        <v>61</v>
      </c>
    </row>
    <row r="53" spans="5:65" hidden="1" x14ac:dyDescent="0.2">
      <c r="F53" t="s">
        <v>275</v>
      </c>
      <c r="G53">
        <f>IF($E$45&gt;20,0,+VLOOKUP(DIM!Q32,F47:J49,5,FALSE))</f>
        <v>15.19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  <c r="AY56" s="97">
        <v>20</v>
      </c>
      <c r="AZ56" s="97" t="s">
        <v>87</v>
      </c>
      <c r="BI56" s="97">
        <v>20</v>
      </c>
      <c r="BJ56" s="97" t="s">
        <v>87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  <c r="AY57" s="98" t="s">
        <v>84</v>
      </c>
      <c r="BI57" s="98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237" t="s">
        <v>302</v>
      </c>
      <c r="I59" s="237"/>
      <c r="J59" s="237" t="s">
        <v>303</v>
      </c>
      <c r="K59" s="237"/>
      <c r="L59" s="237" t="s">
        <v>304</v>
      </c>
      <c r="M59" s="237"/>
      <c r="N59" s="237" t="s">
        <v>305</v>
      </c>
      <c r="O59" s="237"/>
      <c r="R59" s="237" t="s">
        <v>302</v>
      </c>
      <c r="S59" s="237"/>
      <c r="T59" s="237" t="s">
        <v>303</v>
      </c>
      <c r="U59" s="237"/>
      <c r="V59" s="237" t="s">
        <v>304</v>
      </c>
      <c r="W59" s="237"/>
      <c r="X59" s="237" t="s">
        <v>305</v>
      </c>
      <c r="Y59" s="237"/>
      <c r="AB59" s="237" t="s">
        <v>306</v>
      </c>
      <c r="AC59" s="237"/>
      <c r="AD59" s="237" t="s">
        <v>307</v>
      </c>
      <c r="AE59" s="237"/>
      <c r="AF59" s="237" t="s">
        <v>308</v>
      </c>
      <c r="AG59" s="237"/>
      <c r="AH59" s="237" t="s">
        <v>309</v>
      </c>
      <c r="AI59" s="237"/>
      <c r="AL59" s="237" t="s">
        <v>306</v>
      </c>
      <c r="AM59" s="237"/>
      <c r="AN59" s="237" t="s">
        <v>307</v>
      </c>
      <c r="AO59" s="237"/>
      <c r="AP59" s="237" t="s">
        <v>308</v>
      </c>
      <c r="AQ59" s="237"/>
      <c r="AR59" s="237" t="s">
        <v>309</v>
      </c>
      <c r="AS59" s="237"/>
      <c r="AV59" s="237" t="s">
        <v>310</v>
      </c>
      <c r="AW59" s="237"/>
      <c r="AX59" s="237" t="s">
        <v>311</v>
      </c>
      <c r="AY59" s="237"/>
      <c r="AZ59" s="237" t="s">
        <v>312</v>
      </c>
      <c r="BA59" s="237"/>
      <c r="BB59" s="237" t="s">
        <v>313</v>
      </c>
      <c r="BC59" s="237"/>
      <c r="BF59" s="237" t="s">
        <v>310</v>
      </c>
      <c r="BG59" s="237"/>
      <c r="BH59" s="237" t="s">
        <v>311</v>
      </c>
      <c r="BI59" s="237"/>
      <c r="BJ59" s="237" t="s">
        <v>312</v>
      </c>
      <c r="BK59" s="237"/>
      <c r="BL59" s="237" t="s">
        <v>313</v>
      </c>
      <c r="BM59" s="237"/>
    </row>
    <row r="60" spans="5:65" hidden="1" x14ac:dyDescent="0.2">
      <c r="H60" s="237">
        <v>5</v>
      </c>
      <c r="I60" s="237"/>
      <c r="J60" s="237">
        <v>6</v>
      </c>
      <c r="K60" s="237"/>
      <c r="L60" s="237">
        <v>7</v>
      </c>
      <c r="M60" s="237"/>
      <c r="N60" s="237">
        <v>8</v>
      </c>
      <c r="O60" s="237"/>
      <c r="R60" s="237">
        <v>5</v>
      </c>
      <c r="S60" s="237"/>
      <c r="T60" s="237">
        <v>6</v>
      </c>
      <c r="U60" s="237"/>
      <c r="V60" s="237">
        <v>7</v>
      </c>
      <c r="W60" s="237"/>
      <c r="X60" s="237">
        <v>8</v>
      </c>
      <c r="Y60" s="237"/>
      <c r="AB60" s="237">
        <v>5</v>
      </c>
      <c r="AC60" s="237"/>
      <c r="AD60" s="237">
        <v>6</v>
      </c>
      <c r="AE60" s="237"/>
      <c r="AF60" s="237">
        <v>7</v>
      </c>
      <c r="AG60" s="237"/>
      <c r="AH60" s="237">
        <v>8</v>
      </c>
      <c r="AI60" s="237"/>
      <c r="AL60" s="237">
        <v>5</v>
      </c>
      <c r="AM60" s="237"/>
      <c r="AN60" s="237">
        <v>6</v>
      </c>
      <c r="AO60" s="237"/>
      <c r="AP60" s="237">
        <v>7</v>
      </c>
      <c r="AQ60" s="237"/>
      <c r="AR60" s="237">
        <v>8</v>
      </c>
      <c r="AS60" s="237"/>
      <c r="AV60" s="237">
        <v>5</v>
      </c>
      <c r="AW60" s="237"/>
      <c r="AX60" s="237">
        <v>6</v>
      </c>
      <c r="AY60" s="237"/>
      <c r="AZ60" s="237">
        <v>7</v>
      </c>
      <c r="BA60" s="237"/>
      <c r="BB60" s="237">
        <v>8</v>
      </c>
      <c r="BC60" s="237"/>
      <c r="BF60" s="237">
        <v>5</v>
      </c>
      <c r="BG60" s="237"/>
      <c r="BH60" s="237">
        <v>6</v>
      </c>
      <c r="BI60" s="237"/>
      <c r="BJ60" s="237">
        <v>7</v>
      </c>
      <c r="BK60" s="237"/>
      <c r="BL60" s="237">
        <v>8</v>
      </c>
      <c r="BM60" s="237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161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161</v>
      </c>
      <c r="R62">
        <v>6.8</v>
      </c>
      <c r="S62">
        <v>6.8</v>
      </c>
      <c r="T62">
        <v>6.6</v>
      </c>
      <c r="U62">
        <v>6.6</v>
      </c>
      <c r="V62">
        <v>6.4</v>
      </c>
      <c r="W62">
        <v>6.4</v>
      </c>
      <c r="X62">
        <v>6.25</v>
      </c>
      <c r="Y62">
        <v>6.25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161</v>
      </c>
      <c r="AL62">
        <v>6.6</v>
      </c>
      <c r="AM62">
        <v>6.6</v>
      </c>
      <c r="AN62">
        <v>7.85</v>
      </c>
      <c r="AO62">
        <v>7.85</v>
      </c>
      <c r="AP62">
        <v>7.65</v>
      </c>
      <c r="AQ62">
        <v>7.65</v>
      </c>
      <c r="AR62">
        <v>7.45</v>
      </c>
      <c r="AS62">
        <v>7.45</v>
      </c>
      <c r="AU62" t="s">
        <v>161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34</v>
      </c>
      <c r="H63">
        <v>6.6</v>
      </c>
      <c r="I63">
        <v>7.12</v>
      </c>
      <c r="J63">
        <v>6.8</v>
      </c>
      <c r="K63">
        <v>7.38</v>
      </c>
      <c r="L63">
        <v>6.4</v>
      </c>
      <c r="M63">
        <v>7</v>
      </c>
      <c r="N63">
        <v>7.6</v>
      </c>
      <c r="O63">
        <v>7.85</v>
      </c>
      <c r="Q63" t="s">
        <v>34</v>
      </c>
      <c r="R63">
        <v>6.5</v>
      </c>
      <c r="S63">
        <v>5.5</v>
      </c>
      <c r="T63">
        <v>6.3</v>
      </c>
      <c r="U63">
        <v>6.3</v>
      </c>
      <c r="V63">
        <v>6.15</v>
      </c>
      <c r="W63">
        <v>6.15</v>
      </c>
      <c r="X63">
        <v>5.95</v>
      </c>
      <c r="Y63">
        <v>5.95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6.6</v>
      </c>
      <c r="AM63">
        <v>6.6</v>
      </c>
      <c r="AN63">
        <v>7.6</v>
      </c>
      <c r="AO63">
        <v>7.85</v>
      </c>
      <c r="AP63">
        <v>7.65</v>
      </c>
      <c r="AQ63">
        <v>7.65</v>
      </c>
      <c r="AR63">
        <v>7.45</v>
      </c>
      <c r="AS63">
        <v>7.45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7.45</v>
      </c>
      <c r="BG63">
        <v>7.45</v>
      </c>
      <c r="BH63">
        <v>7.25</v>
      </c>
      <c r="BI63">
        <v>7.25</v>
      </c>
      <c r="BJ63">
        <v>7.1</v>
      </c>
      <c r="BK63">
        <v>7.1</v>
      </c>
      <c r="BL63">
        <v>6.9</v>
      </c>
      <c r="BM63">
        <v>6.9</v>
      </c>
    </row>
    <row r="64" spans="5:65" hidden="1" x14ac:dyDescent="0.2">
      <c r="G64" t="s">
        <v>35</v>
      </c>
      <c r="H64">
        <v>6.3</v>
      </c>
      <c r="I64">
        <v>6.8</v>
      </c>
      <c r="J64">
        <v>6.47</v>
      </c>
      <c r="K64">
        <v>7</v>
      </c>
      <c r="L64">
        <v>6.45</v>
      </c>
      <c r="M64">
        <v>7</v>
      </c>
      <c r="N64">
        <v>6.85</v>
      </c>
      <c r="O64">
        <v>7.5</v>
      </c>
      <c r="Q64" t="s">
        <v>35</v>
      </c>
      <c r="R64">
        <v>6.3</v>
      </c>
      <c r="S64">
        <v>6.5</v>
      </c>
      <c r="T64">
        <v>6.3</v>
      </c>
      <c r="U64">
        <v>6.3</v>
      </c>
      <c r="V64">
        <v>6.15</v>
      </c>
      <c r="W64">
        <v>6.15</v>
      </c>
      <c r="X64">
        <v>5.95</v>
      </c>
      <c r="Y64">
        <v>5.95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6.6</v>
      </c>
      <c r="AM64">
        <v>6.6</v>
      </c>
      <c r="AN64">
        <v>7.4</v>
      </c>
      <c r="AO64">
        <v>7.8</v>
      </c>
      <c r="AP64">
        <v>7.45</v>
      </c>
      <c r="AQ64">
        <v>7.65</v>
      </c>
      <c r="AR64">
        <v>7.35</v>
      </c>
      <c r="AS64">
        <v>7.45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7.45</v>
      </c>
      <c r="BG64">
        <v>7.45</v>
      </c>
      <c r="BH64">
        <v>7.25</v>
      </c>
      <c r="BI64">
        <v>7.25</v>
      </c>
      <c r="BJ64">
        <v>7.1</v>
      </c>
      <c r="BK64">
        <v>7.1</v>
      </c>
      <c r="BL64">
        <v>6.9</v>
      </c>
      <c r="BM64">
        <v>6.9</v>
      </c>
    </row>
    <row r="65" spans="7:65" hidden="1" x14ac:dyDescent="0.2">
      <c r="G65" t="s">
        <v>36</v>
      </c>
      <c r="H65">
        <v>5.95</v>
      </c>
      <c r="I65">
        <v>6.5</v>
      </c>
      <c r="J65">
        <v>6.2</v>
      </c>
      <c r="K65">
        <v>6.75</v>
      </c>
      <c r="L65">
        <v>6.4</v>
      </c>
      <c r="M65">
        <v>7</v>
      </c>
      <c r="N65">
        <v>6.6</v>
      </c>
      <c r="O65">
        <v>7.2</v>
      </c>
      <c r="Q65" t="s">
        <v>36</v>
      </c>
      <c r="R65">
        <v>6</v>
      </c>
      <c r="S65">
        <v>6.5</v>
      </c>
      <c r="T65">
        <v>6.3</v>
      </c>
      <c r="U65">
        <v>6.3</v>
      </c>
      <c r="V65">
        <v>6.15</v>
      </c>
      <c r="W65">
        <v>6.15</v>
      </c>
      <c r="X65">
        <v>5.95</v>
      </c>
      <c r="Y65">
        <v>5.95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6.6</v>
      </c>
      <c r="AN65">
        <v>7.2</v>
      </c>
      <c r="AO65">
        <v>7.55</v>
      </c>
      <c r="AP65">
        <v>7.25</v>
      </c>
      <c r="AQ65">
        <v>7.65</v>
      </c>
      <c r="AR65">
        <v>7.15</v>
      </c>
      <c r="AS65">
        <v>7.45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7.3</v>
      </c>
      <c r="BG65">
        <v>7.45</v>
      </c>
      <c r="BH65">
        <v>7.15</v>
      </c>
      <c r="BI65">
        <v>7.25</v>
      </c>
      <c r="BJ65">
        <v>7</v>
      </c>
      <c r="BK65">
        <v>7.1</v>
      </c>
      <c r="BL65">
        <v>6.9</v>
      </c>
      <c r="BM65">
        <v>6.9</v>
      </c>
    </row>
    <row r="66" spans="7:65" hidden="1" x14ac:dyDescent="0.2">
      <c r="G66" t="s">
        <v>37</v>
      </c>
      <c r="H66">
        <v>5.7</v>
      </c>
      <c r="I66">
        <v>6.3</v>
      </c>
      <c r="J66">
        <v>5.95</v>
      </c>
      <c r="K66">
        <v>6.5</v>
      </c>
      <c r="L66">
        <v>6.15</v>
      </c>
      <c r="M66">
        <v>6.75</v>
      </c>
      <c r="N66">
        <v>6.35</v>
      </c>
      <c r="O66">
        <v>7</v>
      </c>
      <c r="Q66" t="s">
        <v>37</v>
      </c>
      <c r="R66">
        <v>5.7</v>
      </c>
      <c r="S66">
        <v>6.3</v>
      </c>
      <c r="T66">
        <f>0.2+R66</f>
        <v>5.9</v>
      </c>
      <c r="U66">
        <v>6.3</v>
      </c>
      <c r="V66">
        <v>6.15</v>
      </c>
      <c r="W66">
        <v>6.15</v>
      </c>
      <c r="X66">
        <v>5.95</v>
      </c>
      <c r="Y66">
        <v>5.95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6.6</v>
      </c>
      <c r="AM66">
        <v>6.6</v>
      </c>
      <c r="AN66">
        <v>7</v>
      </c>
      <c r="AO66">
        <v>7.35</v>
      </c>
      <c r="AP66">
        <v>7.05</v>
      </c>
      <c r="AQ66">
        <v>7.45</v>
      </c>
      <c r="AR66">
        <v>7</v>
      </c>
      <c r="AS66">
        <v>7.35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7.15</v>
      </c>
      <c r="BG66">
        <v>7.45</v>
      </c>
      <c r="BH66">
        <v>7</v>
      </c>
      <c r="BI66">
        <v>7.25</v>
      </c>
      <c r="BJ66">
        <v>6.9</v>
      </c>
      <c r="BK66">
        <v>7.1</v>
      </c>
      <c r="BL66">
        <v>6.8</v>
      </c>
      <c r="BM66">
        <v>6.9</v>
      </c>
    </row>
    <row r="67" spans="7:65" hidden="1" x14ac:dyDescent="0.2">
      <c r="G67" t="s">
        <v>80</v>
      </c>
      <c r="H67">
        <v>5.5</v>
      </c>
      <c r="I67">
        <v>6.05</v>
      </c>
      <c r="J67">
        <f t="shared" ref="J67:J74" si="7">0.2+H67</f>
        <v>5.7</v>
      </c>
      <c r="K67">
        <v>6.3</v>
      </c>
      <c r="L67">
        <v>5.95</v>
      </c>
      <c r="M67">
        <v>6.55</v>
      </c>
      <c r="N67">
        <v>6.15</v>
      </c>
      <c r="O67">
        <v>6.75</v>
      </c>
      <c r="Q67" t="s">
        <v>80</v>
      </c>
      <c r="R67">
        <v>5.5</v>
      </c>
      <c r="S67">
        <v>6.05</v>
      </c>
      <c r="T67">
        <f t="shared" ref="T67:T82" si="8">0.2+R67</f>
        <v>5.7</v>
      </c>
      <c r="U67">
        <v>6.2</v>
      </c>
      <c r="V67">
        <v>5.85</v>
      </c>
      <c r="W67">
        <v>6.15</v>
      </c>
      <c r="X67">
        <v>5.95</v>
      </c>
      <c r="Y67">
        <v>5.95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6.15</v>
      </c>
      <c r="AM67">
        <v>6.45</v>
      </c>
      <c r="AN67">
        <v>6.75</v>
      </c>
      <c r="AO67">
        <v>7.15</v>
      </c>
      <c r="AP67">
        <v>6.85</v>
      </c>
      <c r="AQ67">
        <v>7.25</v>
      </c>
      <c r="AR67">
        <v>6.8</v>
      </c>
      <c r="AS67">
        <v>7.15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6.95</v>
      </c>
      <c r="BG67">
        <v>7.35</v>
      </c>
      <c r="BH67">
        <v>6.85</v>
      </c>
      <c r="BI67">
        <v>7.25</v>
      </c>
      <c r="BJ67">
        <v>6.75</v>
      </c>
      <c r="BK67">
        <v>7.1</v>
      </c>
      <c r="BL67">
        <v>6.65</v>
      </c>
      <c r="BM67">
        <v>6.9</v>
      </c>
    </row>
    <row r="68" spans="7:65" hidden="1" x14ac:dyDescent="0.2">
      <c r="G68" t="s">
        <v>38</v>
      </c>
      <c r="H68">
        <v>5.15</v>
      </c>
      <c r="I68">
        <v>5.7</v>
      </c>
      <c r="J68">
        <f t="shared" si="7"/>
        <v>5.3500000000000005</v>
      </c>
      <c r="K68">
        <v>5.9</v>
      </c>
      <c r="L68">
        <v>5.6</v>
      </c>
      <c r="M68">
        <v>6.15</v>
      </c>
      <c r="N68">
        <v>5.8</v>
      </c>
      <c r="O68">
        <v>6.4</v>
      </c>
      <c r="Q68" t="s">
        <v>38</v>
      </c>
      <c r="R68">
        <v>5.15</v>
      </c>
      <c r="S68">
        <v>5.7</v>
      </c>
      <c r="T68">
        <f t="shared" si="8"/>
        <v>5.3500000000000005</v>
      </c>
      <c r="U68">
        <v>5.9</v>
      </c>
      <c r="V68">
        <v>5.6</v>
      </c>
      <c r="W68">
        <v>5.9</v>
      </c>
      <c r="X68">
        <v>5.55</v>
      </c>
      <c r="Y68">
        <v>5.85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5.85</v>
      </c>
      <c r="AM68">
        <v>6.15</v>
      </c>
      <c r="AN68">
        <v>6.35</v>
      </c>
      <c r="AO68">
        <v>6.8</v>
      </c>
      <c r="AP68">
        <v>6.5</v>
      </c>
      <c r="AQ68">
        <v>6.9</v>
      </c>
      <c r="AR68">
        <v>6.5</v>
      </c>
      <c r="AS68">
        <v>6.85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7.05</v>
      </c>
      <c r="BH68">
        <v>6.6</v>
      </c>
      <c r="BI68">
        <v>7</v>
      </c>
      <c r="BJ68">
        <v>6.5</v>
      </c>
      <c r="BK68">
        <v>6.9</v>
      </c>
      <c r="BL68">
        <v>6.45</v>
      </c>
      <c r="BM68">
        <v>6.8</v>
      </c>
    </row>
    <row r="69" spans="7:65" hidden="1" x14ac:dyDescent="0.2">
      <c r="G69" t="s">
        <v>39</v>
      </c>
      <c r="H69">
        <v>4.8499999999999996</v>
      </c>
      <c r="I69">
        <v>5.4</v>
      </c>
      <c r="J69">
        <v>5.0999999999999996</v>
      </c>
      <c r="K69">
        <v>5.65</v>
      </c>
      <c r="L69">
        <v>5.3</v>
      </c>
      <c r="M69">
        <v>5.85</v>
      </c>
      <c r="N69">
        <v>5.5</v>
      </c>
      <c r="O69">
        <v>6.1</v>
      </c>
      <c r="Q69" t="s">
        <v>39</v>
      </c>
      <c r="R69">
        <v>4.8499999999999996</v>
      </c>
      <c r="S69">
        <v>5.2</v>
      </c>
      <c r="T69">
        <f t="shared" si="8"/>
        <v>5.05</v>
      </c>
      <c r="U69">
        <v>5.5</v>
      </c>
      <c r="V69">
        <v>5.3</v>
      </c>
      <c r="W69">
        <v>5.65</v>
      </c>
      <c r="X69">
        <v>5.35</v>
      </c>
      <c r="Y69">
        <v>5.65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5.55</v>
      </c>
      <c r="AM69">
        <v>5.92</v>
      </c>
      <c r="AN69">
        <v>6</v>
      </c>
      <c r="AO69">
        <v>6.45</v>
      </c>
      <c r="AP69">
        <v>6.15</v>
      </c>
      <c r="AQ69">
        <v>6.55</v>
      </c>
      <c r="AR69">
        <v>6.2</v>
      </c>
      <c r="AS69">
        <v>6.55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6.4</v>
      </c>
      <c r="BG69">
        <v>6.75</v>
      </c>
      <c r="BH69">
        <v>6.35</v>
      </c>
      <c r="BI69">
        <v>6.7</v>
      </c>
      <c r="BJ69">
        <v>6.3</v>
      </c>
      <c r="BK69">
        <v>6.65</v>
      </c>
      <c r="BL69">
        <v>6.25</v>
      </c>
      <c r="BM69">
        <v>6.6</v>
      </c>
    </row>
    <row r="70" spans="7:65" hidden="1" x14ac:dyDescent="0.2">
      <c r="G70" t="s">
        <v>162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162</v>
      </c>
      <c r="R70">
        <v>6.5</v>
      </c>
      <c r="S70">
        <v>6.8</v>
      </c>
      <c r="T70">
        <v>6.3</v>
      </c>
      <c r="U70">
        <v>6.3</v>
      </c>
      <c r="V70">
        <v>6.4</v>
      </c>
      <c r="W70">
        <v>6.4</v>
      </c>
      <c r="X70">
        <v>6.25</v>
      </c>
      <c r="Y70">
        <v>6.25</v>
      </c>
      <c r="AA70" t="s">
        <v>162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L70">
        <v>6.6</v>
      </c>
      <c r="AM70">
        <v>6.6</v>
      </c>
      <c r="AN70">
        <v>7.4</v>
      </c>
      <c r="AO70">
        <v>7.8</v>
      </c>
      <c r="AP70">
        <v>7.5</v>
      </c>
      <c r="AQ70">
        <v>7.65</v>
      </c>
      <c r="AR70">
        <v>7.45</v>
      </c>
      <c r="AS70">
        <v>7.45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  <c r="BF70">
        <v>7.45</v>
      </c>
      <c r="BG70">
        <v>7.45</v>
      </c>
      <c r="BH70">
        <v>7.25</v>
      </c>
      <c r="BI70">
        <v>7.25</v>
      </c>
      <c r="BJ70">
        <v>7.1</v>
      </c>
      <c r="BK70">
        <v>7.1</v>
      </c>
      <c r="BL70">
        <v>6.9</v>
      </c>
      <c r="BM70">
        <v>6.9</v>
      </c>
    </row>
    <row r="71" spans="7:65" hidden="1" x14ac:dyDescent="0.2">
      <c r="G71" t="s">
        <v>40</v>
      </c>
      <c r="H71">
        <v>6.15</v>
      </c>
      <c r="I71">
        <v>6.5</v>
      </c>
      <c r="J71">
        <f t="shared" si="7"/>
        <v>6.3500000000000005</v>
      </c>
      <c r="K71">
        <v>6.75</v>
      </c>
      <c r="L71">
        <v>6.55</v>
      </c>
      <c r="M71">
        <v>7</v>
      </c>
      <c r="N71">
        <v>6.8</v>
      </c>
      <c r="O71">
        <v>7.25</v>
      </c>
      <c r="Q71" t="s">
        <v>40</v>
      </c>
      <c r="R71">
        <v>6.2</v>
      </c>
      <c r="S71">
        <v>6.55</v>
      </c>
      <c r="T71">
        <v>6.3</v>
      </c>
      <c r="U71">
        <v>6.3</v>
      </c>
      <c r="V71">
        <v>6.15</v>
      </c>
      <c r="W71">
        <v>6.15</v>
      </c>
      <c r="X71">
        <v>5.95</v>
      </c>
      <c r="Y71">
        <v>5.95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6.4</v>
      </c>
      <c r="AM71">
        <v>6.6</v>
      </c>
      <c r="AN71">
        <v>7.2</v>
      </c>
      <c r="AO71">
        <v>7.55</v>
      </c>
      <c r="AP71">
        <v>7.25</v>
      </c>
      <c r="AQ71">
        <v>7.65</v>
      </c>
      <c r="AR71">
        <v>7.2</v>
      </c>
      <c r="AS71">
        <v>7.45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7.4</v>
      </c>
      <c r="BG71">
        <v>7.45</v>
      </c>
      <c r="BH71">
        <v>7.25</v>
      </c>
      <c r="BI71">
        <v>7.25</v>
      </c>
      <c r="BJ71">
        <v>7.1</v>
      </c>
      <c r="BK71">
        <v>7.1</v>
      </c>
      <c r="BL71">
        <v>6.9</v>
      </c>
      <c r="BM71">
        <v>6.9</v>
      </c>
    </row>
    <row r="72" spans="7:65" hidden="1" x14ac:dyDescent="0.2">
      <c r="G72" t="s">
        <v>41</v>
      </c>
      <c r="H72">
        <v>5.9</v>
      </c>
      <c r="I72">
        <v>6.25</v>
      </c>
      <c r="J72">
        <f t="shared" si="7"/>
        <v>6.1000000000000005</v>
      </c>
      <c r="K72">
        <v>6.5</v>
      </c>
      <c r="L72">
        <v>6.3</v>
      </c>
      <c r="M72">
        <v>6.75</v>
      </c>
      <c r="N72">
        <v>6.5</v>
      </c>
      <c r="O72">
        <v>7</v>
      </c>
      <c r="Q72" t="s">
        <v>41</v>
      </c>
      <c r="R72">
        <v>5.9</v>
      </c>
      <c r="S72">
        <v>6.3</v>
      </c>
      <c r="T72">
        <f t="shared" si="8"/>
        <v>6.1000000000000005</v>
      </c>
      <c r="U72">
        <v>6.3</v>
      </c>
      <c r="V72">
        <v>6</v>
      </c>
      <c r="W72">
        <v>6.15</v>
      </c>
      <c r="X72">
        <v>5.9</v>
      </c>
      <c r="Y72">
        <v>5.95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6.25</v>
      </c>
      <c r="AM72">
        <v>6.6</v>
      </c>
      <c r="AN72">
        <v>7</v>
      </c>
      <c r="AO72">
        <v>7.35</v>
      </c>
      <c r="AP72">
        <v>7.05</v>
      </c>
      <c r="AQ72">
        <v>7.45</v>
      </c>
      <c r="AR72">
        <v>7.05</v>
      </c>
      <c r="AS72">
        <v>7.4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7.2</v>
      </c>
      <c r="BG72">
        <v>7.45</v>
      </c>
      <c r="BH72">
        <v>7.1</v>
      </c>
      <c r="BI72">
        <v>7.25</v>
      </c>
      <c r="BJ72">
        <v>7.05</v>
      </c>
      <c r="BK72">
        <v>7.1</v>
      </c>
      <c r="BL72">
        <v>6.9</v>
      </c>
      <c r="BM72">
        <v>6.9</v>
      </c>
    </row>
    <row r="73" spans="7:65" hidden="1" x14ac:dyDescent="0.2">
      <c r="G73" t="s">
        <v>42</v>
      </c>
      <c r="H73">
        <v>5.65</v>
      </c>
      <c r="I73">
        <v>6.05</v>
      </c>
      <c r="J73">
        <f t="shared" si="7"/>
        <v>5.8500000000000005</v>
      </c>
      <c r="K73">
        <v>6.3</v>
      </c>
      <c r="L73">
        <v>6.1</v>
      </c>
      <c r="M73">
        <v>6.55</v>
      </c>
      <c r="N73">
        <v>6.3</v>
      </c>
      <c r="O73">
        <v>6.75</v>
      </c>
      <c r="Q73" t="s">
        <v>42</v>
      </c>
      <c r="R73">
        <v>5.65</v>
      </c>
      <c r="S73">
        <v>6.05</v>
      </c>
      <c r="T73">
        <f t="shared" si="8"/>
        <v>5.8500000000000005</v>
      </c>
      <c r="U73">
        <v>6.2</v>
      </c>
      <c r="V73">
        <v>5.85</v>
      </c>
      <c r="W73">
        <v>6.15</v>
      </c>
      <c r="X73">
        <v>5.8</v>
      </c>
      <c r="Y73">
        <v>5.95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6.15</v>
      </c>
      <c r="AM73">
        <v>6.75</v>
      </c>
      <c r="AN73">
        <v>6.8</v>
      </c>
      <c r="AO73">
        <v>7.2</v>
      </c>
      <c r="AP73">
        <v>6.9</v>
      </c>
      <c r="AQ73">
        <v>7.3</v>
      </c>
      <c r="AR73">
        <v>6.85</v>
      </c>
      <c r="AS73">
        <v>7.25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7.05</v>
      </c>
      <c r="BG73">
        <v>7.45</v>
      </c>
      <c r="BH73">
        <v>7</v>
      </c>
      <c r="BI73">
        <v>7.25</v>
      </c>
      <c r="BJ73">
        <v>6.9</v>
      </c>
      <c r="BK73">
        <v>7.1</v>
      </c>
      <c r="BL73">
        <v>6.8</v>
      </c>
      <c r="BM73">
        <v>6.9</v>
      </c>
    </row>
    <row r="74" spans="7:65" hidden="1" x14ac:dyDescent="0.2">
      <c r="G74" t="s">
        <v>43</v>
      </c>
      <c r="H74">
        <v>5.45</v>
      </c>
      <c r="I74">
        <v>5.85</v>
      </c>
      <c r="J74">
        <f t="shared" si="7"/>
        <v>5.65</v>
      </c>
      <c r="K74">
        <v>6.1</v>
      </c>
      <c r="L74">
        <v>5.9</v>
      </c>
      <c r="M74">
        <v>6.35</v>
      </c>
      <c r="N74">
        <v>6.1</v>
      </c>
      <c r="O74">
        <v>6.55</v>
      </c>
      <c r="Q74" t="s">
        <v>43</v>
      </c>
      <c r="R74">
        <v>5.45</v>
      </c>
      <c r="S74">
        <v>5.85</v>
      </c>
      <c r="T74">
        <f t="shared" si="8"/>
        <v>5.65</v>
      </c>
      <c r="U74">
        <v>6.05</v>
      </c>
      <c r="V74">
        <v>5.75</v>
      </c>
      <c r="W74">
        <v>6.05</v>
      </c>
      <c r="X74">
        <v>5.7</v>
      </c>
      <c r="Y74">
        <v>6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</v>
      </c>
      <c r="AM74">
        <v>6.3</v>
      </c>
      <c r="AN74">
        <v>6.65</v>
      </c>
      <c r="AO74">
        <v>7</v>
      </c>
      <c r="AP74">
        <v>6.75</v>
      </c>
      <c r="AQ74">
        <v>7.1</v>
      </c>
      <c r="AR74">
        <v>6.7</v>
      </c>
      <c r="AS74">
        <v>7.1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6.95</v>
      </c>
      <c r="BG74">
        <v>7.3</v>
      </c>
      <c r="BH74">
        <v>6.9</v>
      </c>
      <c r="BI74">
        <v>7.25</v>
      </c>
      <c r="BJ74">
        <v>6.8</v>
      </c>
      <c r="BK74">
        <v>7.1</v>
      </c>
      <c r="BL74">
        <v>6.7</v>
      </c>
      <c r="BM74">
        <v>6.9</v>
      </c>
    </row>
    <row r="75" spans="7:65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5.7</v>
      </c>
      <c r="M75">
        <v>6.15</v>
      </c>
      <c r="N75">
        <v>5.9</v>
      </c>
      <c r="O75">
        <v>6.4</v>
      </c>
      <c r="Q75" t="s">
        <v>81</v>
      </c>
      <c r="R75">
        <v>5.25</v>
      </c>
      <c r="S75">
        <v>5.7</v>
      </c>
      <c r="T75">
        <v>5.5</v>
      </c>
      <c r="U75">
        <v>5.9</v>
      </c>
      <c r="V75">
        <v>5.6</v>
      </c>
      <c r="W75">
        <v>5.9</v>
      </c>
      <c r="X75">
        <v>5.6</v>
      </c>
      <c r="Y75">
        <v>5.9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5.85</v>
      </c>
      <c r="AM75">
        <v>6.15</v>
      </c>
      <c r="AN75">
        <v>6.45</v>
      </c>
      <c r="AO75">
        <v>6.85</v>
      </c>
      <c r="AP75">
        <v>6.6</v>
      </c>
      <c r="AQ75">
        <v>6.95</v>
      </c>
      <c r="AR75">
        <v>6.6</v>
      </c>
      <c r="AS75">
        <v>6.95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6.8</v>
      </c>
      <c r="BG75">
        <v>7.15</v>
      </c>
      <c r="BH75">
        <v>6.75</v>
      </c>
      <c r="BI75">
        <v>7.1</v>
      </c>
      <c r="BJ75">
        <v>6.7</v>
      </c>
      <c r="BK75">
        <v>7.1</v>
      </c>
      <c r="BL75">
        <v>6.6</v>
      </c>
      <c r="BM75">
        <v>6.9</v>
      </c>
    </row>
    <row r="76" spans="7:65" hidden="1" x14ac:dyDescent="0.2">
      <c r="G76" t="s">
        <v>44</v>
      </c>
      <c r="H76">
        <v>4.95</v>
      </c>
      <c r="I76">
        <v>5.15</v>
      </c>
      <c r="J76">
        <f t="shared" ref="J76" si="9">0.2+H76</f>
        <v>5.15</v>
      </c>
      <c r="K76">
        <v>5.65</v>
      </c>
      <c r="L76">
        <v>5.4</v>
      </c>
      <c r="M76">
        <v>5.9</v>
      </c>
      <c r="N76">
        <v>5.6</v>
      </c>
      <c r="O76">
        <v>6.1</v>
      </c>
      <c r="Q76" t="s">
        <v>44</v>
      </c>
      <c r="R76">
        <v>4.95</v>
      </c>
      <c r="S76">
        <v>5.15</v>
      </c>
      <c r="T76">
        <f t="shared" si="8"/>
        <v>5.15</v>
      </c>
      <c r="U76">
        <v>5.45</v>
      </c>
      <c r="V76">
        <v>5.4</v>
      </c>
      <c r="W76">
        <v>5.7</v>
      </c>
      <c r="X76">
        <v>5.4</v>
      </c>
      <c r="Y76">
        <v>5.7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5.65</v>
      </c>
      <c r="AM76">
        <v>5.95</v>
      </c>
      <c r="AN76">
        <v>6.1</v>
      </c>
      <c r="AO76">
        <v>6.55</v>
      </c>
      <c r="AP76">
        <v>6.25</v>
      </c>
      <c r="AQ76">
        <v>6.65</v>
      </c>
      <c r="AR76">
        <v>6.3</v>
      </c>
      <c r="AS76">
        <v>6.65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6.55</v>
      </c>
      <c r="BG76">
        <v>6.9</v>
      </c>
      <c r="BH76">
        <v>6.55</v>
      </c>
      <c r="BI76">
        <v>6.9</v>
      </c>
      <c r="BJ76">
        <v>6.45</v>
      </c>
      <c r="BK76">
        <v>6.8</v>
      </c>
      <c r="BL76">
        <v>6.4</v>
      </c>
      <c r="BM76">
        <v>6.75</v>
      </c>
    </row>
    <row r="77" spans="7:65" hidden="1" x14ac:dyDescent="0.2">
      <c r="G77" t="s">
        <v>67</v>
      </c>
      <c r="H77">
        <v>4.7</v>
      </c>
      <c r="I77">
        <v>5.15</v>
      </c>
      <c r="J77">
        <v>4.95</v>
      </c>
      <c r="K77">
        <v>5.4</v>
      </c>
      <c r="L77">
        <v>5.15</v>
      </c>
      <c r="M77">
        <v>5.6</v>
      </c>
      <c r="N77">
        <v>5.35</v>
      </c>
      <c r="O77">
        <v>5.85</v>
      </c>
      <c r="Q77" t="s">
        <v>67</v>
      </c>
      <c r="R77">
        <v>4.5999999999999996</v>
      </c>
      <c r="S77">
        <v>4.5999999999999996</v>
      </c>
      <c r="T77">
        <v>4.9000000000000004</v>
      </c>
      <c r="U77">
        <v>5.3</v>
      </c>
      <c r="V77">
        <v>5.0999999999999996</v>
      </c>
      <c r="W77">
        <v>5.2</v>
      </c>
      <c r="X77">
        <v>5.2</v>
      </c>
      <c r="Y77">
        <v>5.5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5.4</v>
      </c>
      <c r="AM77">
        <v>5.75</v>
      </c>
      <c r="AN77">
        <v>5.85</v>
      </c>
      <c r="AO77">
        <v>6.3</v>
      </c>
      <c r="AP77">
        <v>6</v>
      </c>
      <c r="AQ77">
        <v>6.4</v>
      </c>
      <c r="AR77">
        <v>6.1</v>
      </c>
      <c r="AS77">
        <v>6.4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6.35</v>
      </c>
      <c r="BG77">
        <v>6.7</v>
      </c>
      <c r="BH77">
        <v>6.3</v>
      </c>
      <c r="BI77">
        <v>6.65</v>
      </c>
      <c r="BJ77">
        <v>6.25</v>
      </c>
      <c r="BK77">
        <v>6.6</v>
      </c>
      <c r="BL77">
        <v>6.2</v>
      </c>
      <c r="BM77">
        <v>6.55</v>
      </c>
    </row>
    <row r="78" spans="7:65" hidden="1" x14ac:dyDescent="0.2">
      <c r="G78" t="s">
        <v>163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163</v>
      </c>
      <c r="R78">
        <v>5.9</v>
      </c>
      <c r="S78">
        <v>6.1</v>
      </c>
      <c r="T78">
        <v>5.9</v>
      </c>
      <c r="U78">
        <v>6.2</v>
      </c>
      <c r="V78">
        <v>5.9</v>
      </c>
      <c r="W78">
        <v>6.2</v>
      </c>
      <c r="X78">
        <v>5.8</v>
      </c>
      <c r="Y78">
        <v>5.95</v>
      </c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L78">
        <v>6.15</v>
      </c>
      <c r="AM78">
        <v>6.45</v>
      </c>
      <c r="AN78">
        <v>6.8</v>
      </c>
      <c r="AO78">
        <v>7.2</v>
      </c>
      <c r="AP78">
        <v>6.9</v>
      </c>
      <c r="AQ78">
        <v>7.3</v>
      </c>
      <c r="AR78">
        <v>6.95</v>
      </c>
      <c r="AS78">
        <v>7.25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163</v>
      </c>
      <c r="BF78">
        <v>7.05</v>
      </c>
      <c r="BG78">
        <v>7.45</v>
      </c>
      <c r="BH78">
        <v>7</v>
      </c>
      <c r="BI78">
        <v>7.25</v>
      </c>
      <c r="BJ78">
        <v>6.9</v>
      </c>
      <c r="BK78">
        <v>7.1</v>
      </c>
      <c r="BL78">
        <v>6.85</v>
      </c>
      <c r="BM78">
        <v>6.9</v>
      </c>
    </row>
    <row r="79" spans="7:65" hidden="1" x14ac:dyDescent="0.2">
      <c r="G79" t="s">
        <v>50</v>
      </c>
      <c r="H79">
        <v>5.65</v>
      </c>
      <c r="I79">
        <v>5.9</v>
      </c>
      <c r="J79">
        <f t="shared" ref="J79:J81" si="10">0.2+H79</f>
        <v>5.8500000000000005</v>
      </c>
      <c r="K79">
        <v>6.1</v>
      </c>
      <c r="L79">
        <v>6.1</v>
      </c>
      <c r="M79">
        <v>6.35</v>
      </c>
      <c r="N79">
        <v>6.3</v>
      </c>
      <c r="O79">
        <v>6.6</v>
      </c>
      <c r="Q79" t="s">
        <v>50</v>
      </c>
      <c r="R79">
        <v>5.65</v>
      </c>
      <c r="S79">
        <v>5.9</v>
      </c>
      <c r="T79">
        <f t="shared" si="8"/>
        <v>5.8500000000000005</v>
      </c>
      <c r="U79">
        <v>6.1</v>
      </c>
      <c r="V79">
        <v>5.75</v>
      </c>
      <c r="W79">
        <v>6.05</v>
      </c>
      <c r="X79">
        <v>5.7</v>
      </c>
      <c r="Y79">
        <v>6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</v>
      </c>
      <c r="AM79">
        <v>6.3</v>
      </c>
      <c r="AN79">
        <v>6.65</v>
      </c>
      <c r="AO79">
        <v>7</v>
      </c>
      <c r="AP79">
        <v>6.75</v>
      </c>
      <c r="AQ79">
        <v>7.1</v>
      </c>
      <c r="AR79">
        <v>6.7</v>
      </c>
      <c r="AS79">
        <v>7.1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6.95</v>
      </c>
      <c r="BG79">
        <v>7.3</v>
      </c>
      <c r="BH79">
        <v>6.9</v>
      </c>
      <c r="BI79">
        <v>7.25</v>
      </c>
      <c r="BJ79">
        <v>6.8</v>
      </c>
      <c r="BK79">
        <v>7.1</v>
      </c>
      <c r="BL79">
        <v>6.7</v>
      </c>
      <c r="BM79">
        <v>6.9</v>
      </c>
    </row>
    <row r="80" spans="7:65" hidden="1" x14ac:dyDescent="0.2">
      <c r="G80" t="s">
        <v>76</v>
      </c>
      <c r="H80">
        <v>5.45</v>
      </c>
      <c r="I80">
        <v>5.65</v>
      </c>
      <c r="J80">
        <f t="shared" si="10"/>
        <v>5.65</v>
      </c>
      <c r="K80">
        <v>5.95</v>
      </c>
      <c r="L80">
        <v>5.9</v>
      </c>
      <c r="M80">
        <v>6.2</v>
      </c>
      <c r="N80">
        <v>6.1</v>
      </c>
      <c r="O80">
        <v>6.4</v>
      </c>
      <c r="Q80" t="s">
        <v>76</v>
      </c>
      <c r="R80">
        <v>5.45</v>
      </c>
      <c r="S80">
        <v>5.65</v>
      </c>
      <c r="T80">
        <f t="shared" si="8"/>
        <v>5.65</v>
      </c>
      <c r="U80">
        <v>5.9</v>
      </c>
      <c r="V80">
        <v>5.6</v>
      </c>
      <c r="W80">
        <v>5.9</v>
      </c>
      <c r="X80">
        <v>5.6</v>
      </c>
      <c r="Y80">
        <v>5.9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5.85</v>
      </c>
      <c r="AM80">
        <v>6.14</v>
      </c>
      <c r="AN80">
        <v>6.5</v>
      </c>
      <c r="AO80">
        <v>6.85</v>
      </c>
      <c r="AP80">
        <v>6.6</v>
      </c>
      <c r="AQ80">
        <v>6.95</v>
      </c>
      <c r="AR80">
        <v>6.6</v>
      </c>
      <c r="AS80">
        <v>6.95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6.8</v>
      </c>
      <c r="BG80">
        <v>7.15</v>
      </c>
      <c r="BH80">
        <v>6.75</v>
      </c>
      <c r="BI80">
        <v>7.1</v>
      </c>
      <c r="BJ80">
        <v>6.7</v>
      </c>
      <c r="BK80">
        <v>7.1</v>
      </c>
      <c r="BL80">
        <v>6.6</v>
      </c>
      <c r="BM80">
        <v>6.9</v>
      </c>
    </row>
    <row r="81" spans="5:65" hidden="1" x14ac:dyDescent="0.2">
      <c r="G81" t="s">
        <v>77</v>
      </c>
      <c r="H81">
        <v>5.3</v>
      </c>
      <c r="I81">
        <v>5.5</v>
      </c>
      <c r="J81">
        <f t="shared" si="10"/>
        <v>5.5</v>
      </c>
      <c r="K81">
        <v>5.85</v>
      </c>
      <c r="L81">
        <v>5.75</v>
      </c>
      <c r="M81">
        <v>6</v>
      </c>
      <c r="N81">
        <v>5.9</v>
      </c>
      <c r="O81">
        <v>6.25</v>
      </c>
      <c r="Q81" t="s">
        <v>77</v>
      </c>
      <c r="R81">
        <v>5.3</v>
      </c>
      <c r="S81">
        <v>5.35</v>
      </c>
      <c r="T81">
        <f t="shared" si="8"/>
        <v>5.5</v>
      </c>
      <c r="U81">
        <v>5.65</v>
      </c>
      <c r="V81">
        <v>5.5</v>
      </c>
      <c r="W81">
        <v>5.8</v>
      </c>
      <c r="X81">
        <v>5.5</v>
      </c>
      <c r="Y81">
        <v>5.75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5.75</v>
      </c>
      <c r="AM81">
        <v>6.05</v>
      </c>
      <c r="AN81">
        <v>6.35</v>
      </c>
      <c r="AO81">
        <v>6.7</v>
      </c>
      <c r="AP81">
        <v>6.45</v>
      </c>
      <c r="AQ81">
        <v>6.8</v>
      </c>
      <c r="AR81">
        <v>6.45</v>
      </c>
      <c r="AS81">
        <v>6.8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6.7</v>
      </c>
      <c r="BG81">
        <v>7.05</v>
      </c>
      <c r="BH81">
        <v>6.65</v>
      </c>
      <c r="BI81">
        <v>7</v>
      </c>
      <c r="BJ81">
        <v>6.6</v>
      </c>
      <c r="BK81">
        <v>6.95</v>
      </c>
      <c r="BL81">
        <v>6.55</v>
      </c>
      <c r="BM81">
        <v>6.9</v>
      </c>
    </row>
    <row r="82" spans="5:65" hidden="1" x14ac:dyDescent="0.2">
      <c r="G82" t="s">
        <v>46</v>
      </c>
      <c r="H82">
        <v>5.0999999999999996</v>
      </c>
      <c r="I82">
        <v>5.4</v>
      </c>
      <c r="J82">
        <v>5.35</v>
      </c>
      <c r="K82">
        <v>5.65</v>
      </c>
      <c r="L82">
        <v>5.55</v>
      </c>
      <c r="M82">
        <v>5.85</v>
      </c>
      <c r="N82">
        <v>5.75</v>
      </c>
      <c r="O82">
        <v>6.1</v>
      </c>
      <c r="Q82" t="s">
        <v>46</v>
      </c>
      <c r="R82">
        <v>5</v>
      </c>
      <c r="S82">
        <v>5</v>
      </c>
      <c r="T82">
        <f t="shared" si="8"/>
        <v>5.2</v>
      </c>
      <c r="U82">
        <v>5.3</v>
      </c>
      <c r="V82">
        <v>5.4</v>
      </c>
      <c r="W82">
        <v>5.65</v>
      </c>
      <c r="X82">
        <v>5.4</v>
      </c>
      <c r="Y82">
        <v>5.7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5.65</v>
      </c>
      <c r="AM82">
        <v>5.95</v>
      </c>
      <c r="AN82">
        <v>6.2</v>
      </c>
      <c r="AO82">
        <v>6.55</v>
      </c>
      <c r="AP82">
        <v>6.3</v>
      </c>
      <c r="AQ82">
        <v>6.65</v>
      </c>
      <c r="AR82">
        <v>6.3</v>
      </c>
      <c r="AS82">
        <v>6.65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6.55</v>
      </c>
      <c r="BG82">
        <v>6.9</v>
      </c>
      <c r="BH82">
        <v>6.55</v>
      </c>
      <c r="BI82">
        <v>6.9</v>
      </c>
      <c r="BJ82">
        <v>6.5</v>
      </c>
      <c r="BK82">
        <v>6.85</v>
      </c>
      <c r="BL82">
        <v>6.45</v>
      </c>
      <c r="BM82">
        <v>6</v>
      </c>
    </row>
    <row r="83" spans="5:65" hidden="1" x14ac:dyDescent="0.2">
      <c r="G83" t="s">
        <v>82</v>
      </c>
      <c r="H83">
        <v>4.95</v>
      </c>
      <c r="I83">
        <v>5.25</v>
      </c>
      <c r="J83">
        <v>5.2</v>
      </c>
      <c r="K83">
        <v>5.5</v>
      </c>
      <c r="L83">
        <v>5.4</v>
      </c>
      <c r="M83">
        <v>5.75</v>
      </c>
      <c r="N83">
        <v>5.6</v>
      </c>
      <c r="O83">
        <v>5.95</v>
      </c>
      <c r="Q83" t="s">
        <v>82</v>
      </c>
      <c r="R83">
        <v>4.75</v>
      </c>
      <c r="S83">
        <v>4.75</v>
      </c>
      <c r="T83">
        <v>5.05</v>
      </c>
      <c r="U83">
        <v>5.05</v>
      </c>
      <c r="V83">
        <v>5.6</v>
      </c>
      <c r="W83">
        <v>5.35</v>
      </c>
      <c r="X83">
        <v>5.3</v>
      </c>
      <c r="Y83">
        <v>5.6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5.55</v>
      </c>
      <c r="AM83">
        <v>5.84</v>
      </c>
      <c r="AN83">
        <v>6.1</v>
      </c>
      <c r="AO83">
        <v>6.4</v>
      </c>
      <c r="AP83">
        <v>6.2</v>
      </c>
      <c r="AQ83">
        <v>6.5</v>
      </c>
      <c r="AR83">
        <v>6.2</v>
      </c>
      <c r="AS83">
        <v>6.55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6.45</v>
      </c>
      <c r="BG83">
        <v>6.8</v>
      </c>
      <c r="BH83">
        <v>6.4</v>
      </c>
      <c r="BI83">
        <v>6.8</v>
      </c>
      <c r="BJ83">
        <v>6.4</v>
      </c>
      <c r="BK83">
        <v>6.75</v>
      </c>
      <c r="BL83">
        <v>6.35</v>
      </c>
      <c r="BM83">
        <v>6.7</v>
      </c>
    </row>
    <row r="84" spans="5:65" hidden="1" x14ac:dyDescent="0.2">
      <c r="G84" t="s">
        <v>45</v>
      </c>
      <c r="H84">
        <v>4.75</v>
      </c>
      <c r="I84">
        <v>4.75</v>
      </c>
      <c r="J84">
        <v>4.95</v>
      </c>
      <c r="K84">
        <v>5.3</v>
      </c>
      <c r="L84">
        <v>5.15</v>
      </c>
      <c r="M84">
        <v>5.45</v>
      </c>
      <c r="N84">
        <v>5.35</v>
      </c>
      <c r="O84">
        <v>5.65</v>
      </c>
      <c r="Q84" t="s">
        <v>45</v>
      </c>
      <c r="R84">
        <v>4.3</v>
      </c>
      <c r="S84">
        <v>4.3</v>
      </c>
      <c r="T84">
        <v>4.5999999999999996</v>
      </c>
      <c r="U84">
        <v>4.5999999999999996</v>
      </c>
      <c r="V84">
        <v>4.9000000000000004</v>
      </c>
      <c r="W84">
        <v>4.9000000000000004</v>
      </c>
      <c r="X84">
        <v>5.0999999999999996</v>
      </c>
      <c r="Y84">
        <v>5.15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5.35</v>
      </c>
      <c r="AM84">
        <v>5.35</v>
      </c>
      <c r="AN84">
        <v>5.85</v>
      </c>
      <c r="AO84">
        <v>6.15</v>
      </c>
      <c r="AP84">
        <v>5.95</v>
      </c>
      <c r="AQ84">
        <v>6.3</v>
      </c>
      <c r="AR84">
        <v>6</v>
      </c>
      <c r="AS84">
        <v>6.3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6.25</v>
      </c>
      <c r="BG84">
        <v>6.6</v>
      </c>
      <c r="BH84">
        <v>6.25</v>
      </c>
      <c r="BI84">
        <v>6.6</v>
      </c>
      <c r="BJ84">
        <v>6.2</v>
      </c>
      <c r="BK84">
        <v>6.55</v>
      </c>
      <c r="BL84">
        <v>6.2</v>
      </c>
      <c r="BM84">
        <v>6.5</v>
      </c>
    </row>
    <row r="85" spans="5:65" hidden="1" x14ac:dyDescent="0.2">
      <c r="G85" t="s">
        <v>68</v>
      </c>
      <c r="H85">
        <v>4.55</v>
      </c>
      <c r="I85">
        <v>4.55</v>
      </c>
      <c r="J85">
        <v>4.75</v>
      </c>
      <c r="K85">
        <v>4.8499999999999996</v>
      </c>
      <c r="L85">
        <v>4.95</v>
      </c>
      <c r="M85">
        <v>5</v>
      </c>
      <c r="N85">
        <v>5.15</v>
      </c>
      <c r="O85">
        <v>5.15</v>
      </c>
      <c r="Q85" t="s">
        <v>68</v>
      </c>
      <c r="R85">
        <v>3.95</v>
      </c>
      <c r="S85">
        <v>3.95</v>
      </c>
      <c r="T85">
        <v>4.2</v>
      </c>
      <c r="U85">
        <v>4.2</v>
      </c>
      <c r="V85">
        <v>4.5</v>
      </c>
      <c r="W85">
        <v>4.45</v>
      </c>
      <c r="X85">
        <v>4.75</v>
      </c>
      <c r="Y85">
        <v>4.7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4.9000000000000004</v>
      </c>
      <c r="AM85">
        <v>4.9000000000000004</v>
      </c>
      <c r="AN85">
        <v>5.6</v>
      </c>
      <c r="AO85">
        <v>5.95</v>
      </c>
      <c r="AP85">
        <v>5.75</v>
      </c>
      <c r="AQ85">
        <v>6.05</v>
      </c>
      <c r="AR85">
        <v>5.8</v>
      </c>
      <c r="AS85">
        <v>6.1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6.05</v>
      </c>
      <c r="BG85">
        <v>6.4</v>
      </c>
      <c r="BH85">
        <v>6.05</v>
      </c>
      <c r="BI85">
        <v>6.4</v>
      </c>
      <c r="BJ85">
        <v>6.1</v>
      </c>
      <c r="BK85">
        <v>6.4</v>
      </c>
      <c r="BL85">
        <v>6.05</v>
      </c>
      <c r="BM85">
        <v>6.35</v>
      </c>
    </row>
    <row r="86" spans="5:65" hidden="1" x14ac:dyDescent="0.2">
      <c r="G86" t="s">
        <v>71</v>
      </c>
      <c r="H86" s="238">
        <v>179</v>
      </c>
      <c r="I86" s="238"/>
      <c r="J86" s="238">
        <v>229</v>
      </c>
      <c r="K86" s="238"/>
      <c r="L86" s="238">
        <v>252</v>
      </c>
      <c r="M86" s="238"/>
      <c r="N86" s="238">
        <v>275</v>
      </c>
      <c r="O86" s="238"/>
      <c r="R86" s="238">
        <v>179</v>
      </c>
      <c r="S86" s="238"/>
      <c r="T86" s="238">
        <v>229</v>
      </c>
      <c r="U86" s="238"/>
      <c r="V86" s="238">
        <v>252</v>
      </c>
      <c r="W86" s="238"/>
      <c r="X86" s="238">
        <v>275</v>
      </c>
      <c r="Y86" s="238"/>
      <c r="AB86" s="238">
        <v>253</v>
      </c>
      <c r="AC86" s="238"/>
      <c r="AD86" s="238">
        <v>273</v>
      </c>
      <c r="AE86" s="238"/>
      <c r="AF86" s="238">
        <v>296</v>
      </c>
      <c r="AG86" s="238"/>
      <c r="AH86" s="238">
        <v>319</v>
      </c>
      <c r="AI86" s="238"/>
      <c r="AL86" s="238">
        <v>232</v>
      </c>
      <c r="AM86" s="238"/>
      <c r="AN86" s="238">
        <v>273</v>
      </c>
      <c r="AO86" s="238"/>
      <c r="AP86" s="238">
        <v>296</v>
      </c>
      <c r="AQ86" s="238"/>
      <c r="AR86" s="238">
        <v>319</v>
      </c>
      <c r="AS86" s="238"/>
      <c r="AV86" s="238">
        <v>322</v>
      </c>
      <c r="AW86" s="238"/>
      <c r="AX86" s="238">
        <v>345</v>
      </c>
      <c r="AY86" s="238"/>
      <c r="AZ86" s="238">
        <v>368</v>
      </c>
      <c r="BA86" s="238"/>
      <c r="BB86" s="238">
        <v>391</v>
      </c>
      <c r="BC86" s="238"/>
      <c r="BF86" s="238">
        <v>322</v>
      </c>
      <c r="BG86" s="238"/>
      <c r="BH86" s="238">
        <v>345</v>
      </c>
      <c r="BI86" s="238"/>
      <c r="BJ86" s="238">
        <v>368</v>
      </c>
      <c r="BK86" s="238"/>
      <c r="BL86" s="238">
        <v>391</v>
      </c>
      <c r="BM86" s="238"/>
    </row>
    <row r="87" spans="5:65" hidden="1" x14ac:dyDescent="0.2">
      <c r="G87" t="s">
        <v>72</v>
      </c>
      <c r="H87" s="238">
        <v>61</v>
      </c>
      <c r="I87" s="238"/>
      <c r="J87" s="238">
        <v>72.5</v>
      </c>
      <c r="K87" s="238"/>
      <c r="L87" s="238">
        <v>82.5</v>
      </c>
      <c r="M87" s="238"/>
      <c r="N87" s="238">
        <v>92.5</v>
      </c>
      <c r="O87" s="238"/>
      <c r="R87" s="238">
        <v>61</v>
      </c>
      <c r="S87" s="238"/>
      <c r="T87" s="238">
        <v>72.5</v>
      </c>
      <c r="U87" s="238"/>
      <c r="V87" s="238">
        <v>82.5</v>
      </c>
      <c r="W87" s="238"/>
      <c r="X87" s="238">
        <v>92.5</v>
      </c>
      <c r="Y87" s="238"/>
      <c r="AB87" s="238">
        <v>76</v>
      </c>
      <c r="AC87" s="238"/>
      <c r="AD87" s="238">
        <v>78.5</v>
      </c>
      <c r="AE87" s="238"/>
      <c r="AF87" s="238">
        <v>86</v>
      </c>
      <c r="AG87" s="238"/>
      <c r="AH87" s="238">
        <v>96</v>
      </c>
      <c r="AI87" s="238"/>
      <c r="AL87" s="238">
        <v>74</v>
      </c>
      <c r="AM87" s="238"/>
      <c r="AN87" s="238">
        <v>78.5</v>
      </c>
      <c r="AO87" s="238"/>
      <c r="AP87" s="238">
        <v>86</v>
      </c>
      <c r="AQ87" s="238"/>
      <c r="AR87" s="238">
        <v>96</v>
      </c>
      <c r="AS87" s="238"/>
      <c r="AV87" s="238">
        <v>93</v>
      </c>
      <c r="AW87" s="238"/>
      <c r="AX87" s="238">
        <v>103</v>
      </c>
      <c r="AY87" s="238"/>
      <c r="AZ87" s="238">
        <v>113</v>
      </c>
      <c r="BA87" s="238"/>
      <c r="BB87" s="238">
        <v>123</v>
      </c>
      <c r="BC87" s="238"/>
      <c r="BF87" s="238">
        <v>93</v>
      </c>
      <c r="BG87" s="238"/>
      <c r="BH87" s="238">
        <v>103</v>
      </c>
      <c r="BI87" s="238"/>
      <c r="BJ87" s="238">
        <v>113</v>
      </c>
      <c r="BK87" s="238"/>
      <c r="BL87" s="238">
        <v>123</v>
      </c>
      <c r="BM87" s="238"/>
    </row>
    <row r="88" spans="5:65" hidden="1" x14ac:dyDescent="0.2">
      <c r="E88" t="s">
        <v>49</v>
      </c>
      <c r="G88" t="str">
        <f>+DIM!$AK$20&amp;"+"&amp;DIM!$S$14</f>
        <v>151+250</v>
      </c>
      <c r="H88" s="100">
        <f>+VLOOKUP($G$88,$G$62:$O$85,2,FALSE)</f>
        <v>5.9</v>
      </c>
      <c r="I88" s="100">
        <f>+VLOOKUP($G$88,$G$62:$O$85,3,FALSE)</f>
        <v>6.25</v>
      </c>
      <c r="J88" s="100">
        <f>+VLOOKUP($G$88,$G$62:$O$85,4,FALSE)</f>
        <v>6.1000000000000005</v>
      </c>
      <c r="K88" s="100">
        <f>+VLOOKUP($G$88,$G$62:$O$85,5,FALSE)</f>
        <v>6.5</v>
      </c>
      <c r="L88" s="100">
        <f>+VLOOKUP($G$88,$G$62:$O$85,6,FALSE)</f>
        <v>6.3</v>
      </c>
      <c r="M88" s="100">
        <f>+VLOOKUP($G$88,$G$62:$O$85,7,FALSE)</f>
        <v>6.75</v>
      </c>
      <c r="N88" s="100">
        <f>+VLOOKUP($G$88,$G$62:$O$85,8,FALSE)</f>
        <v>6.5</v>
      </c>
      <c r="O88" s="100">
        <f>+VLOOKUP($G$88,$G$62:$O$85,9,FALSE)</f>
        <v>7</v>
      </c>
      <c r="Q88" t="str">
        <f>+DIM!$AK$20&amp;"+"&amp;DIM!$S$14</f>
        <v>151+250</v>
      </c>
      <c r="R88" s="100">
        <f>+VLOOKUP($Q$88,$Q$62:$Y$85,2,FALSE)</f>
        <v>5.9</v>
      </c>
      <c r="S88" s="100">
        <f>+VLOOKUP($Q$88,$Q$62:$Y$85,3,FALSE)</f>
        <v>6.3</v>
      </c>
      <c r="T88" s="100">
        <f>+VLOOKUP($Q$88,$Q$62:$Y$85,4,FALSE)</f>
        <v>6.1000000000000005</v>
      </c>
      <c r="U88" s="100">
        <f>+VLOOKUP($Q$88,$Q$62:$Y$85,5,FALSE)</f>
        <v>6.3</v>
      </c>
      <c r="V88" s="100">
        <f>+VLOOKUP($Q$88,$Q$62:$Y$85,6,FALSE)</f>
        <v>6</v>
      </c>
      <c r="W88" s="100">
        <f>+VLOOKUP($Q$88,$Q$62:$Y$85,7,FALSE)</f>
        <v>6.15</v>
      </c>
      <c r="X88" s="100">
        <f>+VLOOKUP($Q$88,$Q$62:$Y$85,8,FALSE)</f>
        <v>5.9</v>
      </c>
      <c r="Y88" s="100">
        <f>+VLOOKUP($Q$88,$Q$62:$Y$85,9,FALSE)</f>
        <v>5.95</v>
      </c>
      <c r="AA88" t="str">
        <f>+DIM!$AK$20&amp;"+"&amp;DIM!$S$14</f>
        <v>151+250</v>
      </c>
      <c r="AB88" s="100">
        <f>+VLOOKUP($AA$88,$AA$62:$AI$87,2,FALSE)</f>
        <v>6.75</v>
      </c>
      <c r="AC88" s="100">
        <f>+VLOOKUP($AA$88,$AA$62:$AI$87,3,FALSE)</f>
        <v>7.2</v>
      </c>
      <c r="AD88" s="100">
        <f>+VLOOKUP($AA$88,$AA$62:$AI$87,4,FALSE)</f>
        <v>7.2</v>
      </c>
      <c r="AE88" s="100">
        <f>+VLOOKUP($AA$88,$AA$62:$AI$87,5,FALSE)</f>
        <v>7.7</v>
      </c>
      <c r="AF88" s="100">
        <f>+VLOOKUP($AA$88,$AA$62:$AI$87,6,FALSE)</f>
        <v>7.3</v>
      </c>
      <c r="AG88" s="100">
        <f>+VLOOKUP($AA$88,$AA$62:$AI$87,7,FALSE)</f>
        <v>7.85</v>
      </c>
      <c r="AH88" s="100">
        <f>+VLOOKUP($AA$88,$AA$62:$AI$87,8,FALSE)</f>
        <v>7.5</v>
      </c>
      <c r="AI88" s="100">
        <f>+VLOOKUP($AA$88,$AA$62:$AI$87,9,FALSE)</f>
        <v>8.0500000000000007</v>
      </c>
      <c r="AK88" t="str">
        <f>+DIM!$AK$20&amp;"+"&amp;DIM!$S$14</f>
        <v>151+250</v>
      </c>
      <c r="AL88" s="100">
        <f>+VLOOKUP($AK$88,$AK$62:$AS$87,2,FALSE)</f>
        <v>6.25</v>
      </c>
      <c r="AM88" s="100">
        <f>+VLOOKUP($AK$88,$AK$62:$AS$87,3,FALSE)</f>
        <v>6.6</v>
      </c>
      <c r="AN88" s="100">
        <f>+VLOOKUP($AK$88,$AK$62:$AS$87,4,FALSE)</f>
        <v>7</v>
      </c>
      <c r="AO88" s="100">
        <f>+VLOOKUP($AK$88,$AK$62:$AS$87,5,FALSE)</f>
        <v>7.35</v>
      </c>
      <c r="AP88" s="100">
        <f>+VLOOKUP($AK$88,$AK$62:$AS$87,6,FALSE)</f>
        <v>7.05</v>
      </c>
      <c r="AQ88" s="100">
        <f>+VLOOKUP($AK$88,$AK$62:$AS$87,7,FALSE)</f>
        <v>7.45</v>
      </c>
      <c r="AR88" s="100">
        <f>+VLOOKUP($AK$88,$AK$62:$AS$87,8,FALSE)</f>
        <v>7.05</v>
      </c>
      <c r="AS88" s="100">
        <f>+VLOOKUP($AK$88,$AK$62:$AS$87,9,FALSE)</f>
        <v>7.4</v>
      </c>
      <c r="AU88" t="str">
        <f>+DIM!$AK$20&amp;"+"&amp;DIM!$S$14</f>
        <v>151+250</v>
      </c>
      <c r="AV88" s="100">
        <f>+VLOOKUP($AU$42,$AU$62:$BC$86,2,FALSE)</f>
        <v>8</v>
      </c>
      <c r="AW88" s="100">
        <f>+VLOOKUP($AU$42,$AU$62:$BC$86,3,FALSE)</f>
        <v>8.6</v>
      </c>
      <c r="AX88" s="100">
        <f>+VLOOKUP($AU$42,$AU$62:$BC$86,4,FALSE)</f>
        <v>8.15</v>
      </c>
      <c r="AY88" s="100">
        <f>+VLOOKUP($AU$42,$AU$62:$BC$86,5,FALSE)</f>
        <v>8.8000000000000007</v>
      </c>
      <c r="AZ88" s="100">
        <f>+VLOOKUP($AU$42,$AU$62:$BC$86,6,FALSE)</f>
        <v>8.35</v>
      </c>
      <c r="BA88" s="100">
        <f>+VLOOKUP($AU$42,$AU$62:$BC$86,7,FALSE)</f>
        <v>9</v>
      </c>
      <c r="BB88" s="100">
        <f>+VLOOKUP($AU$42,$AU$62:$BC$86,8,FALSE)</f>
        <v>8.5500000000000007</v>
      </c>
      <c r="BC88" s="100">
        <f>+VLOOKUP($AU$42,$AU$62:$BC$86,9,FALSE)</f>
        <v>9</v>
      </c>
      <c r="BE88" t="str">
        <f>+DIM!$AK$20&amp;"+"&amp;DIM!$S$14</f>
        <v>151+250</v>
      </c>
      <c r="BF88" s="100">
        <f>+VLOOKUP($BE$88,$BE$62:$BM$85,2,FALSE)</f>
        <v>7.2</v>
      </c>
      <c r="BG88" s="100">
        <f>+VLOOKUP($BE$88,$BE$62:$BM$85,3,FALSE)</f>
        <v>7.45</v>
      </c>
      <c r="BH88" s="100">
        <f>+VLOOKUP($BE$88,$BE$62:$BM$85,4,FALSE)</f>
        <v>7.1</v>
      </c>
      <c r="BI88" s="100">
        <f>+VLOOKUP($BE$88,$BE$62:$BM$85,5,FALSE)</f>
        <v>7.25</v>
      </c>
      <c r="BJ88" s="100">
        <f>+VLOOKUP($BE$88,$BE$62:$BM$85,6,FALSE)</f>
        <v>7.05</v>
      </c>
      <c r="BK88" s="100">
        <f>+VLOOKUP($BE$88,$BE$62:$BM$85,7,FALSE)</f>
        <v>7.1</v>
      </c>
      <c r="BL88" s="100">
        <f>+VLOOKUP($BE$88,$BE$62:$BM$85,8,FALSE)</f>
        <v>6.9</v>
      </c>
      <c r="BM88" s="100">
        <f>+VLOOKUP($BE$88,$BE$62:$BM$85,9,FALSE)</f>
        <v>6.9</v>
      </c>
    </row>
    <row r="89" spans="5:65" hidden="1" x14ac:dyDescent="0.2">
      <c r="F89" t="s">
        <v>47</v>
      </c>
      <c r="G89">
        <f>+DIM!AD62</f>
        <v>0</v>
      </c>
      <c r="H89" s="237">
        <f>+IF(DIM!$AD$15=ebsvs!$H$15,ebsvs!H88,ebsvs!I88)</f>
        <v>6.25</v>
      </c>
      <c r="I89" s="237"/>
      <c r="J89" s="237">
        <f>+IF(DIM!$AD$15=ebsvs!$H$15,ebsvs!J88,ebsvs!K88)</f>
        <v>6.5</v>
      </c>
      <c r="K89" s="237"/>
      <c r="L89" s="237">
        <f>+IF(DIM!$AD$15=ebsvs!$H$15,ebsvs!L88,ebsvs!M88)</f>
        <v>6.75</v>
      </c>
      <c r="M89" s="237"/>
      <c r="N89" s="237">
        <f>+IF(DIM!$AD$15=ebsvs!$H$15,ebsvs!N88,ebsvs!O88)</f>
        <v>7</v>
      </c>
      <c r="O89" s="237"/>
      <c r="Q89" t="str">
        <f>+DIM!AD15</f>
        <v>1C</v>
      </c>
      <c r="R89" s="235">
        <f>+IF(DIM!$AD$15=ebsvs!$H$15,ebsvs!R88,ebsvs!S88)</f>
        <v>6.3</v>
      </c>
      <c r="S89" s="236"/>
      <c r="T89" s="235">
        <f>+IF(DIM!$AD$15=ebsvs!$H$15,ebsvs!T88,ebsvs!U88)</f>
        <v>6.3</v>
      </c>
      <c r="U89" s="236"/>
      <c r="V89" s="235">
        <f>+IF(DIM!$AD$15=ebsvs!$H$15,ebsvs!V88,ebsvs!W88)</f>
        <v>6.15</v>
      </c>
      <c r="W89" s="236"/>
      <c r="X89" s="235">
        <f>+IF(DIM!$AD$15=ebsvs!$H$15,ebsvs!X88,ebsvs!Y88)</f>
        <v>5.95</v>
      </c>
      <c r="Y89" s="236"/>
      <c r="AA89" t="str">
        <f>+DIM!AD15</f>
        <v>1C</v>
      </c>
      <c r="AB89" s="235">
        <f>+IF(DIM!$AD$15=ebsvs!$H$15,ebsvs!AB88,ebsvs!AC88)</f>
        <v>7.2</v>
      </c>
      <c r="AC89" s="236"/>
      <c r="AD89" s="235">
        <f>+IF(DIM!$AD$15=ebsvs!$H$15,ebsvs!AD88,ebsvs!AE88)</f>
        <v>7.7</v>
      </c>
      <c r="AE89" s="236"/>
      <c r="AF89" s="235">
        <f>+IF(DIM!$AD$15=ebsvs!$H$15,ebsvs!AF88,ebsvs!AG88)</f>
        <v>7.85</v>
      </c>
      <c r="AG89" s="236"/>
      <c r="AH89" s="235">
        <f>+IF(DIM!$AD$15=ebsvs!$H$15,ebsvs!AH88,ebsvs!AI88)</f>
        <v>8.0500000000000007</v>
      </c>
      <c r="AI89" s="236"/>
      <c r="AK89" t="str">
        <f>+DIM!AD15</f>
        <v>1C</v>
      </c>
      <c r="AL89" s="235">
        <f>+IF(DIM!$AD$15=$AL$61,ebsvs!AL88,ebsvs!AM88)</f>
        <v>6.6</v>
      </c>
      <c r="AM89" s="236"/>
      <c r="AN89" s="235">
        <f>+IF(DIM!$AD$15=$AL$61,ebsvs!AN88,ebsvs!AO88)</f>
        <v>7.35</v>
      </c>
      <c r="AO89" s="236"/>
      <c r="AP89" s="235">
        <f>+IF(DIM!$AD$15=$AL$61,ebsvs!AP88,ebsvs!AQ88)</f>
        <v>7.45</v>
      </c>
      <c r="AQ89" s="236"/>
      <c r="AR89" s="235">
        <f>+IF(DIM!$AD$15=$AL$61,ebsvs!AR88,ebsvs!AS88)</f>
        <v>7.4</v>
      </c>
      <c r="AS89" s="236"/>
      <c r="AU89" t="str">
        <f>+AK89</f>
        <v>1C</v>
      </c>
      <c r="AV89" s="235">
        <f>+IF(DIM!$AD$15=ebsvs!$H$15,ebsvs!AV88,ebsvs!AW88)</f>
        <v>8.6</v>
      </c>
      <c r="AW89" s="236"/>
      <c r="AX89" s="235">
        <f>+IF(DIM!$AD$15=ebsvs!$H$15,ebsvs!AX88,ebsvs!AY88)</f>
        <v>8.8000000000000007</v>
      </c>
      <c r="AY89" s="236"/>
      <c r="AZ89" s="235">
        <f>+IF(DIM!$AD$15=ebsvs!$H$15,ebsvs!AZ88,ebsvs!BA88)</f>
        <v>9</v>
      </c>
      <c r="BA89" s="236"/>
      <c r="BB89" s="235">
        <f>+IF(DIM!$AD$15=ebsvs!$H$15,ebsvs!BB88,ebsvs!BC88)</f>
        <v>9</v>
      </c>
      <c r="BC89" s="236"/>
      <c r="BE89" t="str">
        <f>+AU89</f>
        <v>1C</v>
      </c>
      <c r="BF89" s="235">
        <f>+IF(DIM!$AD$15=ebsvs!$H$15,ebsvs!BF88,ebsvs!BG88)</f>
        <v>7.45</v>
      </c>
      <c r="BG89" s="236"/>
      <c r="BH89" s="235">
        <f>+IF(DIM!$AD$15=ebsvs!$H$15,ebsvs!BH88,ebsvs!BI88)</f>
        <v>7.25</v>
      </c>
      <c r="BI89" s="236"/>
      <c r="BJ89" s="235">
        <f>+IF(DIM!$AD$15=ebsvs!$H$15,ebsvs!BJ88,ebsvs!BK88)</f>
        <v>7.1</v>
      </c>
      <c r="BK89" s="236"/>
      <c r="BL89" s="235">
        <f>+IF(DIM!$AD$15=ebsvs!$H$15,ebsvs!BL88,ebsvs!BM88)</f>
        <v>6.9</v>
      </c>
      <c r="BM89" s="236"/>
    </row>
    <row r="90" spans="5:65" hidden="1" x14ac:dyDescent="0.2">
      <c r="F90" t="s">
        <v>48</v>
      </c>
      <c r="G90" s="100">
        <f>+DIM!S32</f>
        <v>5</v>
      </c>
      <c r="K90" s="102">
        <f>+HLOOKUP(G90,H60:O89,30,FALSE)</f>
        <v>6.25</v>
      </c>
      <c r="Q90" s="100">
        <f>+DIM!S32</f>
        <v>5</v>
      </c>
      <c r="U90" s="102">
        <f>+HLOOKUP(Q90,R60:Y89,30,FALSE)</f>
        <v>6.3</v>
      </c>
      <c r="AA90" s="100">
        <f>+DIM!S32</f>
        <v>5</v>
      </c>
      <c r="AE90" s="102">
        <f>+HLOOKUP(AA90,AB60:AI89,30,FALSE)</f>
        <v>7.2</v>
      </c>
      <c r="AK90" s="100">
        <f>+DIM!S32</f>
        <v>5</v>
      </c>
      <c r="AO90" s="102">
        <f>+HLOOKUP(AK90,AL60:AS89,30,FALSE)</f>
        <v>6.6</v>
      </c>
      <c r="AU90" s="100">
        <f>+AK90</f>
        <v>5</v>
      </c>
      <c r="AY90" s="102">
        <f>+HLOOKUP(AU90,AV60:BC89,30,FALSE)</f>
        <v>8.6</v>
      </c>
      <c r="BE90" s="101">
        <f>+AU90</f>
        <v>5</v>
      </c>
      <c r="BI90" s="102">
        <f>+HLOOKUP(BE90,BF60:BM89,30,FALSE)</f>
        <v>7.45</v>
      </c>
    </row>
    <row r="91" spans="5:65" hidden="1" x14ac:dyDescent="0.2">
      <c r="E91">
        <f>+DIM!Q32</f>
        <v>12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5:65" hidden="1" x14ac:dyDescent="0.2">
      <c r="F92" t="s">
        <v>66</v>
      </c>
      <c r="G92">
        <f>+DIM!S66</f>
        <v>0</v>
      </c>
      <c r="K92" s="98">
        <f>+HLOOKUP(G90,H60:O86,27,FALSE)</f>
        <v>179</v>
      </c>
      <c r="U92" s="98">
        <f>+HLOOKUP(Q90,R60:Y86,27,FALSE)</f>
        <v>179</v>
      </c>
      <c r="AE92" s="98">
        <f>+HLOOKUP(AA90,AB60:AI86,27,FALSE)</f>
        <v>253</v>
      </c>
      <c r="AO92" s="98">
        <f>+HLOOKUP(AK90,AL60:AS86,27,FALSE)</f>
        <v>232</v>
      </c>
      <c r="AY92" s="98">
        <f>+HLOOKUP(AU90,AV60:BC86,27,FALSE)</f>
        <v>322</v>
      </c>
      <c r="BI92" s="98">
        <f>+HLOOKUP(BE90,BF60:BM86,27,FALSE)</f>
        <v>322</v>
      </c>
    </row>
    <row r="93" spans="5:65" hidden="1" x14ac:dyDescent="0.2">
      <c r="F93">
        <v>12</v>
      </c>
      <c r="G93">
        <f>+IF($G$46="avec etai",K90,U90)</f>
        <v>6.3</v>
      </c>
      <c r="H93">
        <f>+IF($G$46="avec etai",K92,U92)</f>
        <v>179</v>
      </c>
      <c r="I93">
        <f>+IF($G$46="avec etai",K93,U93)</f>
        <v>61</v>
      </c>
      <c r="J93">
        <f>+IF($G$46="avec etai",K94,U94)</f>
        <v>20.58</v>
      </c>
      <c r="K93" s="98">
        <f>+HLOOKUP(G90,H60:O87,28,FALSE)</f>
        <v>61</v>
      </c>
      <c r="U93" s="98">
        <f>+HLOOKUP(Q90,R60:Y87,28,FALSE)</f>
        <v>61</v>
      </c>
      <c r="AE93" s="98">
        <f>+HLOOKUP(AA90,AB60:AI87,28,FALSE)</f>
        <v>76</v>
      </c>
      <c r="AO93" s="98">
        <f>+HLOOKUP(AK90,AL60:AS87,28,FALSE)</f>
        <v>74</v>
      </c>
      <c r="AY93" s="98">
        <f>+HLOOKUP(AU90,AV60:BC87,28,FALSE)</f>
        <v>93</v>
      </c>
      <c r="BI93" s="98">
        <f>+HLOOKUP(BE90,BF60:BM87,28,FALSE)</f>
        <v>93</v>
      </c>
    </row>
    <row r="94" spans="5:65" hidden="1" x14ac:dyDescent="0.2">
      <c r="F94">
        <v>15</v>
      </c>
      <c r="G94">
        <f>+IF($G$46="avec etai",AE90,AO90)</f>
        <v>6.6</v>
      </c>
      <c r="H94">
        <f>+IF($G$46="avec etai",AE92,AO92)</f>
        <v>232</v>
      </c>
      <c r="I94">
        <f>+IF($G$46="avec etai",AE93,AO93)</f>
        <v>74</v>
      </c>
      <c r="J94">
        <f>+IF($G$46="avec etai",AE94,AO94)</f>
        <v>21.47</v>
      </c>
      <c r="K94" s="98">
        <f>+HLOOKUP(K91,H101:O103,3,FALSE)</f>
        <v>19.600000000000001</v>
      </c>
      <c r="U94" s="98">
        <f>+HLOOKUP(U91,R101:Y103,3,FALSE)</f>
        <v>20.58</v>
      </c>
      <c r="AE94" s="98">
        <f>+HLOOKUP(AE91,AB101:AI103,3,FALSE)</f>
        <v>21.47</v>
      </c>
      <c r="AO94" s="98">
        <f>+HLOOKUP(AO91,AL101:AS103,3,FALSE)</f>
        <v>21.47</v>
      </c>
      <c r="AY94" s="98">
        <f>+HLOOKUP(AY91,AV101:BC103,3,FALSE)</f>
        <v>25.72</v>
      </c>
      <c r="BI94" s="98">
        <f>+HLOOKUP(BI91,BF101:BM103,3,FALSE)</f>
        <v>25.72</v>
      </c>
    </row>
    <row r="95" spans="5:65" ht="19.5" hidden="1" x14ac:dyDescent="0.35">
      <c r="F95">
        <v>20</v>
      </c>
      <c r="G95">
        <f>+IF($G$46="avec etai",AY90,BI90)</f>
        <v>7.45</v>
      </c>
      <c r="H95">
        <f>+IF($G$46="avec etaii",AY92,BI92)</f>
        <v>322</v>
      </c>
      <c r="I95">
        <f>+IF($G$46="avec etai",AY93,BI93)</f>
        <v>93</v>
      </c>
      <c r="J95">
        <f>+IF($G$46="avec etai",AY94,BI94)</f>
        <v>25.72</v>
      </c>
      <c r="K95" s="97">
        <v>12</v>
      </c>
      <c r="L95" s="97" t="s">
        <v>87</v>
      </c>
      <c r="Q95" s="100">
        <v>6.3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  <c r="AY95" s="97">
        <v>20</v>
      </c>
      <c r="AZ95" s="97" t="s">
        <v>87</v>
      </c>
      <c r="BI95" s="97">
        <v>20</v>
      </c>
      <c r="BJ95" s="97" t="s">
        <v>87</v>
      </c>
    </row>
    <row r="96" spans="5:65" hidden="1" x14ac:dyDescent="0.2">
      <c r="E96" s="98" t="s">
        <v>301</v>
      </c>
      <c r="F96" t="s">
        <v>64</v>
      </c>
      <c r="G96">
        <f>IF($E$91&gt;20,"--",+VLOOKUP(DIM!Q32,ebsvs!F93:I95,2,FALSE))</f>
        <v>6.3</v>
      </c>
      <c r="K96" s="98" t="s">
        <v>78</v>
      </c>
      <c r="U96" s="98" t="s">
        <v>83</v>
      </c>
      <c r="AE96" s="98" t="s">
        <v>84</v>
      </c>
      <c r="AO96" s="98" t="s">
        <v>79</v>
      </c>
      <c r="AY96" s="98" t="s">
        <v>84</v>
      </c>
      <c r="BI96" s="98" t="s">
        <v>79</v>
      </c>
    </row>
    <row r="97" spans="5:65" hidden="1" x14ac:dyDescent="0.2">
      <c r="E97" s="98" t="s">
        <v>129</v>
      </c>
      <c r="F97" t="s">
        <v>75</v>
      </c>
      <c r="G97">
        <f>IF($E$91&gt;20,0,+VLOOKUP(DIM!Q32,ebsvs!F93:I95,3,FALSE))</f>
        <v>179</v>
      </c>
      <c r="P97" s="100"/>
    </row>
    <row r="98" spans="5:65" hidden="1" x14ac:dyDescent="0.2">
      <c r="F98" t="s">
        <v>72</v>
      </c>
      <c r="G98">
        <f>IF($E$91&gt;20,0,+VLOOKUP(DIM!Q32,ebsvs!F93:I95,4,FALSE))</f>
        <v>61</v>
      </c>
    </row>
    <row r="99" spans="5:65" hidden="1" x14ac:dyDescent="0.2">
      <c r="F99" t="s">
        <v>274</v>
      </c>
      <c r="G99">
        <f>IF($E$91&gt;20,0,+VLOOKUP(DIM!Q32,F93:J95,5,FALSE))</f>
        <v>20.58</v>
      </c>
    </row>
    <row r="100" spans="5:65" hidden="1" x14ac:dyDescent="0.2"/>
    <row r="101" spans="5:65" hidden="1" x14ac:dyDescent="0.2">
      <c r="G101" s="98" t="s">
        <v>129</v>
      </c>
      <c r="H101" s="238" t="s">
        <v>302</v>
      </c>
      <c r="I101" s="238"/>
      <c r="J101" s="238" t="s">
        <v>303</v>
      </c>
      <c r="K101" s="238"/>
      <c r="L101" s="238" t="s">
        <v>304</v>
      </c>
      <c r="M101" s="238"/>
      <c r="N101" s="238" t="s">
        <v>305</v>
      </c>
      <c r="O101" s="238"/>
      <c r="Q101" t="s">
        <v>129</v>
      </c>
      <c r="R101" s="238" t="s">
        <v>302</v>
      </c>
      <c r="S101" s="238"/>
      <c r="T101" s="238" t="s">
        <v>303</v>
      </c>
      <c r="U101" s="238"/>
      <c r="V101" s="238" t="s">
        <v>304</v>
      </c>
      <c r="W101" s="238"/>
      <c r="X101" s="238" t="s">
        <v>305</v>
      </c>
      <c r="Y101" s="238"/>
      <c r="AA101" s="98" t="s">
        <v>129</v>
      </c>
      <c r="AB101" s="238" t="s">
        <v>306</v>
      </c>
      <c r="AC101" s="238"/>
      <c r="AD101" s="238" t="s">
        <v>307</v>
      </c>
      <c r="AE101" s="238"/>
      <c r="AF101" s="238" t="s">
        <v>308</v>
      </c>
      <c r="AG101" s="238"/>
      <c r="AH101" s="238" t="s">
        <v>309</v>
      </c>
      <c r="AI101" s="238"/>
      <c r="AK101" t="s">
        <v>129</v>
      </c>
      <c r="AL101" s="238" t="s">
        <v>306</v>
      </c>
      <c r="AM101" s="238"/>
      <c r="AN101" s="238" t="s">
        <v>307</v>
      </c>
      <c r="AO101" s="238"/>
      <c r="AP101" s="238" t="s">
        <v>308</v>
      </c>
      <c r="AQ101" s="238"/>
      <c r="AR101" s="238" t="s">
        <v>309</v>
      </c>
      <c r="AS101" s="238"/>
      <c r="AU101" t="s">
        <v>129</v>
      </c>
      <c r="AV101" s="238" t="s">
        <v>310</v>
      </c>
      <c r="AW101" s="238"/>
      <c r="AX101" s="238" t="s">
        <v>311</v>
      </c>
      <c r="AY101" s="238"/>
      <c r="AZ101" s="238" t="s">
        <v>312</v>
      </c>
      <c r="BA101" s="238"/>
      <c r="BB101" s="238" t="s">
        <v>313</v>
      </c>
      <c r="BC101" s="238"/>
      <c r="BE101" t="s">
        <v>129</v>
      </c>
      <c r="BF101" s="238" t="s">
        <v>310</v>
      </c>
      <c r="BG101" s="238"/>
      <c r="BH101" s="238" t="s">
        <v>311</v>
      </c>
      <c r="BI101" s="238"/>
      <c r="BJ101" s="238" t="s">
        <v>312</v>
      </c>
      <c r="BK101" s="238"/>
      <c r="BL101" s="238" t="s">
        <v>313</v>
      </c>
      <c r="BM101" s="238"/>
    </row>
    <row r="102" spans="5:65" hidden="1" x14ac:dyDescent="0.2">
      <c r="F102" s="100">
        <f>+DIM!S10-0.01</f>
        <v>3.99</v>
      </c>
      <c r="H102" s="238">
        <f>+IF(H89&gt;$F$102,1,0)</f>
        <v>1</v>
      </c>
      <c r="I102" s="238"/>
      <c r="J102" s="238">
        <f t="shared" ref="J102" si="11">+IF(J89&gt;$F$102,1,0)</f>
        <v>1</v>
      </c>
      <c r="K102" s="238"/>
      <c r="L102" s="238">
        <f t="shared" ref="L102" si="12">+IF(L89&gt;$F$102,1,0)</f>
        <v>1</v>
      </c>
      <c r="M102" s="238"/>
      <c r="N102" s="238">
        <f t="shared" ref="N102" si="13">+IF(N89&gt;$F$102,1,0)</f>
        <v>1</v>
      </c>
      <c r="O102" s="238"/>
      <c r="R102" s="238">
        <f t="shared" ref="R102:X102" si="14">+IF(R89&gt;$F$102,1,0)</f>
        <v>1</v>
      </c>
      <c r="S102" s="238"/>
      <c r="T102" s="238">
        <f t="shared" si="14"/>
        <v>1</v>
      </c>
      <c r="U102" s="238"/>
      <c r="V102" s="238">
        <f t="shared" si="14"/>
        <v>1</v>
      </c>
      <c r="W102" s="238"/>
      <c r="X102" s="238">
        <f t="shared" si="14"/>
        <v>1</v>
      </c>
      <c r="Y102" s="238"/>
      <c r="AB102" s="238">
        <f t="shared" ref="AB102:AH102" si="15">+IF(AB89&gt;$F$102,1,0)</f>
        <v>1</v>
      </c>
      <c r="AC102" s="238"/>
      <c r="AD102" s="238">
        <f t="shared" si="15"/>
        <v>1</v>
      </c>
      <c r="AE102" s="238"/>
      <c r="AF102" s="238">
        <f t="shared" si="15"/>
        <v>1</v>
      </c>
      <c r="AG102" s="238"/>
      <c r="AH102" s="238">
        <f t="shared" si="15"/>
        <v>1</v>
      </c>
      <c r="AI102" s="238"/>
      <c r="AL102" s="238">
        <f t="shared" ref="AL102:AR102" si="16">+IF(AL89&gt;$F$102,1,0)</f>
        <v>1</v>
      </c>
      <c r="AM102" s="238"/>
      <c r="AN102" s="238">
        <f t="shared" si="16"/>
        <v>1</v>
      </c>
      <c r="AO102" s="238"/>
      <c r="AP102" s="238">
        <f t="shared" si="16"/>
        <v>1</v>
      </c>
      <c r="AQ102" s="238"/>
      <c r="AR102" s="238">
        <f t="shared" si="16"/>
        <v>1</v>
      </c>
      <c r="AS102" s="238"/>
      <c r="AV102" s="238">
        <f t="shared" ref="AV102:BB102" si="17">+IF(AV89&gt;$F$102,1,0)</f>
        <v>1</v>
      </c>
      <c r="AW102" s="238"/>
      <c r="AX102" s="238">
        <f t="shared" si="17"/>
        <v>1</v>
      </c>
      <c r="AY102" s="238"/>
      <c r="AZ102" s="238">
        <f t="shared" si="17"/>
        <v>1</v>
      </c>
      <c r="BA102" s="238"/>
      <c r="BB102" s="238">
        <f t="shared" si="17"/>
        <v>1</v>
      </c>
      <c r="BC102" s="238"/>
      <c r="BF102" s="238">
        <f t="shared" ref="BF102:BL102" si="18">+IF(BF89&gt;$F$102,1,0)</f>
        <v>1</v>
      </c>
      <c r="BG102" s="238"/>
      <c r="BH102" s="238">
        <f t="shared" si="18"/>
        <v>1</v>
      </c>
      <c r="BI102" s="238"/>
      <c r="BJ102" s="238">
        <f t="shared" si="18"/>
        <v>1</v>
      </c>
      <c r="BK102" s="238"/>
      <c r="BL102" s="238">
        <f t="shared" si="18"/>
        <v>1</v>
      </c>
      <c r="BM102" s="238"/>
    </row>
    <row r="103" spans="5:65" hidden="1" x14ac:dyDescent="0.2">
      <c r="F103" s="100"/>
      <c r="H103">
        <v>19.600000000000001</v>
      </c>
      <c r="J103">
        <f>1.97+H103</f>
        <v>21.57</v>
      </c>
      <c r="L103">
        <f>3.94+H103</f>
        <v>23.540000000000003</v>
      </c>
      <c r="N103">
        <f>5.91+H103</f>
        <v>25.51</v>
      </c>
      <c r="O103" s="49"/>
      <c r="R103">
        <v>20.58</v>
      </c>
      <c r="T103">
        <f>1.97+R103</f>
        <v>22.549999999999997</v>
      </c>
      <c r="V103">
        <f>3.94+R103</f>
        <v>24.52</v>
      </c>
      <c r="X103">
        <f>5.91+R103</f>
        <v>26.49</v>
      </c>
      <c r="Y103" s="49"/>
      <c r="AB103">
        <v>21.47</v>
      </c>
      <c r="AD103">
        <f>1.97+AB103</f>
        <v>23.439999999999998</v>
      </c>
      <c r="AF103">
        <f>3.94+AB103</f>
        <v>25.41</v>
      </c>
      <c r="AH103">
        <f>5.91+AB103</f>
        <v>27.38</v>
      </c>
      <c r="AI103" s="49"/>
      <c r="AL103">
        <v>21.47</v>
      </c>
      <c r="AN103">
        <f>1.97+AL103</f>
        <v>23.439999999999998</v>
      </c>
      <c r="AP103">
        <f>3.94+AL103</f>
        <v>25.41</v>
      </c>
      <c r="AR103">
        <f>5.91+AL103</f>
        <v>27.38</v>
      </c>
      <c r="AV103">
        <v>25.72</v>
      </c>
      <c r="AX103">
        <f>1.97+AV103</f>
        <v>27.689999999999998</v>
      </c>
      <c r="AZ103">
        <f>3.94+AV103</f>
        <v>29.66</v>
      </c>
      <c r="BB103">
        <f>5.91+AV103</f>
        <v>31.63</v>
      </c>
      <c r="BF103">
        <v>25.72</v>
      </c>
      <c r="BH103">
        <f>1.97+BF103</f>
        <v>27.689999999999998</v>
      </c>
      <c r="BJ103">
        <f>3.94+BF103</f>
        <v>29.66</v>
      </c>
      <c r="BL103">
        <f>5.91+BF103</f>
        <v>31.63</v>
      </c>
      <c r="BM103" s="49"/>
    </row>
    <row r="104" spans="5:65" hidden="1" x14ac:dyDescent="0.2">
      <c r="F104" s="100"/>
      <c r="H104" s="49"/>
      <c r="J104" t="s">
        <v>315</v>
      </c>
      <c r="L104" t="s">
        <v>129</v>
      </c>
      <c r="T104" t="s">
        <v>316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5:65" hidden="1" x14ac:dyDescent="0.2">
      <c r="F105" s="100"/>
      <c r="H105" s="49"/>
      <c r="K105" s="112" t="str">
        <f>+IF(H102=1,H101,IF(J102=1,J101,IF(L102=1,L101,IF(N102=1,N101,0))))</f>
        <v>12+5 JUM</v>
      </c>
      <c r="L105" s="112" t="str">
        <f>+AE105</f>
        <v>15+5 JUM</v>
      </c>
      <c r="M105" s="112" t="str">
        <f>+AY105</f>
        <v>20+5 JUM</v>
      </c>
      <c r="U105" t="str">
        <f>+IF(R102=1,R101,IF(T102=1,T101,IF(V102=1,V101,IF(X102=1,X101,0))))</f>
        <v>12+5 JUM</v>
      </c>
      <c r="V105" t="str">
        <f>+AO105</f>
        <v>15+5 JUM</v>
      </c>
      <c r="W105" t="str">
        <f>+AY105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5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5:65" hidden="1" x14ac:dyDescent="0.2">
      <c r="F107" s="100"/>
      <c r="H107" s="49"/>
      <c r="I107" t="s">
        <v>75</v>
      </c>
      <c r="J107" s="98">
        <f>+IF(K105&gt;0,K107,IF(L105&gt;0,L107,IF(M105&gt;0,M107,0)))</f>
        <v>179</v>
      </c>
      <c r="K107">
        <f>+HLOOKUP(J106,H59:O88,28,FALSE)</f>
        <v>179</v>
      </c>
      <c r="L107">
        <f>+HLOOKUP(L105,AB59:AI88,28,FALSE)</f>
        <v>253</v>
      </c>
      <c r="M107">
        <f>+HLOOKUP(M105,AV59:BC88,28,FALSE)</f>
        <v>322</v>
      </c>
      <c r="T107" s="98">
        <f>+IF(U105&gt;0,U107,IF(V105&gt;0,V107,IF(W105&gt;0,W107,0)))</f>
        <v>179</v>
      </c>
      <c r="U107">
        <f>+HLOOKUP(U105,R59:Y88,28,FALSE)</f>
        <v>179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5:65" hidden="1" x14ac:dyDescent="0.2">
      <c r="F108" s="98" t="s">
        <v>314</v>
      </c>
      <c r="H108" s="49"/>
      <c r="I108" t="s">
        <v>72</v>
      </c>
      <c r="J108" s="98">
        <f>+IF(K105&gt;0,K108,IF(L105&gt;0,L108,IF(M105&gt;0,M108,0)))</f>
        <v>61</v>
      </c>
      <c r="K108">
        <f>+HLOOKUP(J106,H59:O88,29,FALSE)</f>
        <v>61</v>
      </c>
      <c r="L108">
        <f>+HLOOKUP(L105,AB59:AI88,29,FALSE)</f>
        <v>76</v>
      </c>
      <c r="M108">
        <f>+HLOOKUP(M105,AV59:BC88,29,FALSE)</f>
        <v>93</v>
      </c>
      <c r="T108" s="98">
        <f>+IF(U105&gt;0,U108,IF(V105&gt;0,V108,IF(W105&gt;0,W108,0)))</f>
        <v>61</v>
      </c>
      <c r="U108">
        <f>+HLOOKUP(U105,R59:Y88,29,FALSE)</f>
        <v>61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5:65" hidden="1" x14ac:dyDescent="0.2">
      <c r="F109" s="100"/>
      <c r="H109" s="49"/>
      <c r="I109" s="49" t="s">
        <v>167</v>
      </c>
      <c r="J109" s="98">
        <f>+IF(K105&gt;0,K109,IF(L105&gt;0,L109,IF(M105&gt;0,M109,0)))</f>
        <v>19.600000000000001</v>
      </c>
      <c r="K109">
        <f>+HLOOKUP(K105,H101:O103,3,FALSE)</f>
        <v>19.600000000000001</v>
      </c>
      <c r="L109">
        <f>+HLOOKUP(L105,AB101:AI103,3,FALSE)</f>
        <v>21.47</v>
      </c>
      <c r="M109">
        <f>+HLOOKUP(M105,AV101:BC103,3,FALSE)</f>
        <v>25.72</v>
      </c>
      <c r="N109" s="49"/>
      <c r="O109" s="49"/>
      <c r="R109" s="49"/>
      <c r="S109" s="49"/>
      <c r="T109" s="98">
        <f>+IF(U105&gt;0,U109,IF(V105&gt;0,V109,IF(W105&gt;0,W109,0)))</f>
        <v>20.58</v>
      </c>
      <c r="U109">
        <f>+HLOOKUP(U105,R101:Y103,3,FALSE)</f>
        <v>20.58</v>
      </c>
      <c r="V109">
        <f>+HLOOKUP(V105,AL101:AS103,3,FALSE)</f>
        <v>21.47</v>
      </c>
      <c r="W109">
        <f>+HLOOKUP(W105,BF101:BM103,3,FALSE)</f>
        <v>25.72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5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5:65" hidden="1" x14ac:dyDescent="0.2">
      <c r="J111" s="98"/>
      <c r="T111" s="98"/>
    </row>
    <row r="112" spans="5:65" hidden="1" x14ac:dyDescent="0.2">
      <c r="J112" s="98"/>
      <c r="T112" s="98"/>
    </row>
    <row r="113" spans="6:65" hidden="1" x14ac:dyDescent="0.2">
      <c r="G113" s="98" t="s">
        <v>88</v>
      </c>
      <c r="H113" s="238" t="s">
        <v>111</v>
      </c>
      <c r="I113" s="238"/>
      <c r="J113" s="238" t="s">
        <v>112</v>
      </c>
      <c r="K113" s="238"/>
      <c r="L113" s="238" t="s">
        <v>113</v>
      </c>
      <c r="M113" s="238"/>
      <c r="N113" s="238" t="s">
        <v>114</v>
      </c>
      <c r="O113" s="238"/>
      <c r="Q113" t="s">
        <v>88</v>
      </c>
      <c r="R113" s="238" t="s">
        <v>111</v>
      </c>
      <c r="S113" s="238"/>
      <c r="T113" s="238" t="s">
        <v>112</v>
      </c>
      <c r="U113" s="238"/>
      <c r="V113" s="238" t="s">
        <v>113</v>
      </c>
      <c r="W113" s="238"/>
      <c r="X113" s="238" t="s">
        <v>114</v>
      </c>
      <c r="Y113" s="238"/>
      <c r="AA113" s="98" t="s">
        <v>88</v>
      </c>
      <c r="AB113" s="238" t="s">
        <v>115</v>
      </c>
      <c r="AC113" s="238"/>
      <c r="AD113" s="238" t="s">
        <v>116</v>
      </c>
      <c r="AE113" s="238"/>
      <c r="AF113" s="238" t="s">
        <v>117</v>
      </c>
      <c r="AG113" s="238"/>
      <c r="AH113" s="238" t="s">
        <v>118</v>
      </c>
      <c r="AI113" s="238"/>
      <c r="AK113" t="s">
        <v>88</v>
      </c>
      <c r="AL113" s="238" t="s">
        <v>115</v>
      </c>
      <c r="AM113" s="238"/>
      <c r="AN113" s="238" t="s">
        <v>116</v>
      </c>
      <c r="AO113" s="238"/>
      <c r="AP113" s="238" t="s">
        <v>117</v>
      </c>
      <c r="AQ113" s="238"/>
      <c r="AR113" s="238" t="s">
        <v>118</v>
      </c>
      <c r="AS113" s="238"/>
      <c r="AU113" t="s">
        <v>88</v>
      </c>
      <c r="AV113" s="238" t="s">
        <v>119</v>
      </c>
      <c r="AW113" s="238"/>
      <c r="AX113" s="238" t="s">
        <v>120</v>
      </c>
      <c r="AY113" s="238"/>
      <c r="AZ113" s="238" t="s">
        <v>121</v>
      </c>
      <c r="BA113" s="238"/>
      <c r="BB113" s="238" t="s">
        <v>122</v>
      </c>
      <c r="BC113" s="238"/>
      <c r="BE113" t="s">
        <v>88</v>
      </c>
      <c r="BF113" s="238" t="s">
        <v>119</v>
      </c>
      <c r="BG113" s="238"/>
      <c r="BH113" s="238" t="s">
        <v>120</v>
      </c>
      <c r="BI113" s="238"/>
      <c r="BJ113" s="238" t="s">
        <v>121</v>
      </c>
      <c r="BK113" s="238"/>
      <c r="BL113" s="238" t="s">
        <v>122</v>
      </c>
      <c r="BM113" s="238"/>
    </row>
    <row r="114" spans="6:65" hidden="1" x14ac:dyDescent="0.2">
      <c r="F114" s="100"/>
      <c r="H114" s="238">
        <f>+IF(H43&gt;$F$102,1,0)</f>
        <v>1</v>
      </c>
      <c r="I114" s="238"/>
      <c r="J114" s="238">
        <f t="shared" ref="J114" si="19">+IF(J43&gt;$F$102,1,0)</f>
        <v>1</v>
      </c>
      <c r="K114" s="238"/>
      <c r="L114" s="238">
        <f t="shared" ref="L114" si="20">+IF(L43&gt;$F$102,1,0)</f>
        <v>1</v>
      </c>
      <c r="M114" s="238"/>
      <c r="N114" s="238">
        <f t="shared" ref="N114" si="21">+IF(N43&gt;$F$102,1,0)</f>
        <v>1</v>
      </c>
      <c r="O114" s="238"/>
      <c r="R114" s="238">
        <f>+IF(R43&gt;$F$102,1,0)</f>
        <v>1</v>
      </c>
      <c r="S114" s="238"/>
      <c r="T114" s="238">
        <f t="shared" ref="T114" si="22">+IF(T43&gt;$F$102,1,0)</f>
        <v>1</v>
      </c>
      <c r="U114" s="238"/>
      <c r="V114" s="238">
        <f t="shared" ref="V114" si="23">+IF(V43&gt;$F$102,1,0)</f>
        <v>1</v>
      </c>
      <c r="W114" s="238"/>
      <c r="X114" s="238">
        <f t="shared" ref="X114" si="24">+IF(X43&gt;$F$102,1,0)</f>
        <v>1</v>
      </c>
      <c r="Y114" s="238"/>
      <c r="AB114" s="238">
        <f>+IF(AB43&gt;$F$102,1,0)</f>
        <v>1</v>
      </c>
      <c r="AC114" s="238"/>
      <c r="AD114" s="238">
        <f t="shared" ref="AD114" si="25">+IF(AD43&gt;$F$102,1,0)</f>
        <v>1</v>
      </c>
      <c r="AE114" s="238"/>
      <c r="AF114" s="238">
        <f t="shared" ref="AF114" si="26">+IF(AF43&gt;$F$102,1,0)</f>
        <v>1</v>
      </c>
      <c r="AG114" s="238"/>
      <c r="AH114" s="238">
        <f t="shared" ref="AH114" si="27">+IF(AH43&gt;$F$102,1,0)</f>
        <v>1</v>
      </c>
      <c r="AI114" s="238"/>
      <c r="AL114" s="238">
        <f>+IF(AL43&gt;$F$102,1,0)</f>
        <v>1</v>
      </c>
      <c r="AM114" s="238"/>
      <c r="AN114" s="238">
        <f t="shared" ref="AN114" si="28">+IF(AN43&gt;$F$102,1,0)</f>
        <v>1</v>
      </c>
      <c r="AO114" s="238"/>
      <c r="AP114" s="238">
        <f t="shared" ref="AP114" si="29">+IF(AP43&gt;$F$102,1,0)</f>
        <v>1</v>
      </c>
      <c r="AQ114" s="238"/>
      <c r="AR114" s="238">
        <f t="shared" ref="AR114" si="30">+IF(AR43&gt;$F$102,1,0)</f>
        <v>1</v>
      </c>
      <c r="AS114" s="238"/>
      <c r="AV114" s="238">
        <f>+IF(AV43&gt;$F$102,1,0)</f>
        <v>1</v>
      </c>
      <c r="AW114" s="238"/>
      <c r="AX114" s="238">
        <f t="shared" ref="AX114" si="31">+IF(AX43&gt;$F$102,1,0)</f>
        <v>1</v>
      </c>
      <c r="AY114" s="238"/>
      <c r="AZ114" s="238">
        <f t="shared" ref="AZ114" si="32">+IF(AZ43&gt;$F$102,1,0)</f>
        <v>1</v>
      </c>
      <c r="BA114" s="238"/>
      <c r="BB114" s="238">
        <f t="shared" ref="BB114" si="33">+IF(BB43&gt;$F$102,1,0)</f>
        <v>1</v>
      </c>
      <c r="BC114" s="238"/>
      <c r="BF114" s="238">
        <f>+IF(BF43&gt;$F$102,1,0)</f>
        <v>1</v>
      </c>
      <c r="BG114" s="238"/>
      <c r="BH114" s="238">
        <f t="shared" ref="BH114" si="34">+IF(BH43&gt;$F$102,1,0)</f>
        <v>1</v>
      </c>
      <c r="BI114" s="238"/>
      <c r="BJ114" s="238">
        <f t="shared" ref="BJ114" si="35">+IF(BJ43&gt;$F$102,1,0)</f>
        <v>1</v>
      </c>
      <c r="BK114" s="238"/>
      <c r="BL114" s="238">
        <f t="shared" ref="BL114" si="36">+IF(BL43&gt;$F$102,1,0)</f>
        <v>1</v>
      </c>
      <c r="BM114" s="238"/>
    </row>
    <row r="115" spans="6:65" hidden="1" x14ac:dyDescent="0.2">
      <c r="H115">
        <v>14.85</v>
      </c>
      <c r="J115">
        <f>1.97+H115</f>
        <v>16.82</v>
      </c>
      <c r="L115">
        <f>3.94+H115</f>
        <v>18.79</v>
      </c>
      <c r="N115">
        <f>5.91+H115</f>
        <v>20.759999999999998</v>
      </c>
      <c r="R115">
        <v>15.19</v>
      </c>
      <c r="T115">
        <f>1.97+R115</f>
        <v>17.16</v>
      </c>
      <c r="V115">
        <f>3.94+R115</f>
        <v>19.13</v>
      </c>
      <c r="X115">
        <f>5.91+R115</f>
        <v>21.1</v>
      </c>
      <c r="AB115">
        <v>16.72</v>
      </c>
      <c r="AD115">
        <f>1.97+AB115</f>
        <v>18.689999999999998</v>
      </c>
      <c r="AF115">
        <f>3.94+AB115</f>
        <v>20.66</v>
      </c>
      <c r="AH115">
        <f>5.91+AB115</f>
        <v>22.63</v>
      </c>
      <c r="AL115">
        <v>16.72</v>
      </c>
      <c r="AN115">
        <f>1.97+AL115</f>
        <v>18.689999999999998</v>
      </c>
      <c r="AP115">
        <f>3.94+AL115</f>
        <v>20.66</v>
      </c>
      <c r="AR115">
        <f>5.91+AL115</f>
        <v>22.63</v>
      </c>
      <c r="AV115">
        <v>20.98</v>
      </c>
      <c r="AX115">
        <f>1.97+AV115</f>
        <v>22.95</v>
      </c>
      <c r="AZ115">
        <f>3.94+AV115</f>
        <v>24.92</v>
      </c>
      <c r="BB115">
        <f>5.91+AV115</f>
        <v>26.89</v>
      </c>
      <c r="BF115">
        <v>20.98</v>
      </c>
      <c r="BH115">
        <f>1.97+BF115</f>
        <v>22.95</v>
      </c>
      <c r="BJ115">
        <f>3.94+BF115</f>
        <v>24.92</v>
      </c>
      <c r="BL115">
        <f>5.91+BF115</f>
        <v>26.89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 t="str">
        <f>+IF(R114=1,R113,IF(T114=1,T113,IF(V114=1,V113,IF(X114=1,X113,0))))</f>
        <v>12+5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12+5</v>
      </c>
      <c r="T118" s="98" t="str">
        <f>+IF(U117&gt;0,U117,IF(V117&gt;0,V117,IF(W117&gt;0,W117,"à jumeler")))</f>
        <v>12+5</v>
      </c>
    </row>
    <row r="119" spans="6:65" hidden="1" x14ac:dyDescent="0.2">
      <c r="I119" t="s">
        <v>75</v>
      </c>
      <c r="J119" s="98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195</v>
      </c>
      <c r="M119">
        <f>+HLOOKUP(M117,AV13:BC41,28,FALSE)</f>
        <v>272</v>
      </c>
      <c r="T119" s="98">
        <f>+IF(U117&gt;0,U119,IF(V117&gt;0,V119,IF(W117&gt;0,W119,0)))</f>
        <v>179</v>
      </c>
      <c r="U119">
        <f>+HLOOKUP(U117,R13:Y41,28,FALSE)</f>
        <v>179</v>
      </c>
      <c r="V119">
        <f>+HLOOKUP(V117,AL13:AS41,28,FALSE)</f>
        <v>198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69</v>
      </c>
      <c r="M120">
        <f>+HLOOKUP(M117,AV13:BC92,29,FALSE)</f>
        <v>86</v>
      </c>
      <c r="T120" s="98">
        <f>+IF(U117&gt;0,U120,IF(V117&gt;0,V120,IF(W117&gt;0,W120,0)))</f>
        <v>61</v>
      </c>
      <c r="U120">
        <f>+HLOOKUP(U117,R13:Y41,29,FALSE)</f>
        <v>61</v>
      </c>
      <c r="V120">
        <f>+HLOOKUP(V117,AL13:AS41,29,FALSE)</f>
        <v>69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14.85</v>
      </c>
      <c r="K121">
        <f>+HLOOKUP(K117,H113:O115,3,FALSE)</f>
        <v>14.85</v>
      </c>
      <c r="L121">
        <f>+HLOOKUP(L117,AB113:AI115,3,FALSE)</f>
        <v>16.72</v>
      </c>
      <c r="M121">
        <f>+HLOOKUP(M117,AV113:BC115,3,FALSE)</f>
        <v>20.98</v>
      </c>
      <c r="T121" s="98">
        <f>+IF(U117&gt;0,U121,IF(V117&gt;0,V121,IF(W117&gt;0,W121,0)))</f>
        <v>15.19</v>
      </c>
      <c r="U121">
        <f>+HLOOKUP(U117,R113:Y115,3,FALSE)</f>
        <v>15.19</v>
      </c>
      <c r="V121">
        <f>+HLOOKUP(V117,AL113:AS115,3,FALSE)</f>
        <v>16.72</v>
      </c>
      <c r="W121">
        <f>+HLOOKUP(W117,BF113:BM115,3,FALSE)</f>
        <v>20.98</v>
      </c>
    </row>
    <row r="122" spans="6:65" hidden="1" x14ac:dyDescent="0.2"/>
    <row r="123" spans="6:65" hidden="1" x14ac:dyDescent="0.2"/>
  </sheetData>
  <sheetProtection algorithmName="SHA-512" hashValue="QaA6kdqbte4MlXnPF1sTfnQQOa6MVeBRqdS+8R8sorBy6xw0r52uFKhmdCEtnofiAaN/CALSvlLfAjc0WFHXaA==" saltValue="HVmXxK8pl99cbjw5NDSb1A==" spinCount="100000" sheet="1" objects="1" scenarios="1"/>
  <mergeCells count="336">
    <mergeCell ref="AZ59:BA59"/>
    <mergeCell ref="BB59:BC59"/>
    <mergeCell ref="BF59:BG59"/>
    <mergeCell ref="BH59:BI59"/>
    <mergeCell ref="BJ59:BK59"/>
    <mergeCell ref="BL59:BM59"/>
    <mergeCell ref="AZ13:BA13"/>
    <mergeCell ref="BB13:BC13"/>
    <mergeCell ref="BF13:BG13"/>
    <mergeCell ref="BH13:BI13"/>
    <mergeCell ref="BJ13:BK13"/>
    <mergeCell ref="BL13:BM13"/>
    <mergeCell ref="BH41:BI41"/>
    <mergeCell ref="BJ41:BK41"/>
    <mergeCell ref="BL41:BM41"/>
    <mergeCell ref="BH14:BI14"/>
    <mergeCell ref="BJ14:BK14"/>
    <mergeCell ref="BL14:BM14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AP59:AQ59"/>
    <mergeCell ref="AR59:AS59"/>
    <mergeCell ref="AV59:AW59"/>
    <mergeCell ref="AX59:AY59"/>
    <mergeCell ref="AZ114:BA114"/>
    <mergeCell ref="BB114:BC114"/>
    <mergeCell ref="BF114:BG114"/>
    <mergeCell ref="BH114:BI114"/>
    <mergeCell ref="BJ114:BK114"/>
    <mergeCell ref="BL114:BM1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13:BA113"/>
    <mergeCell ref="BB113:BC113"/>
    <mergeCell ref="BF113:BG113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02:BA102"/>
    <mergeCell ref="BB102:BC102"/>
    <mergeCell ref="BF102:BG102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01:BA101"/>
    <mergeCell ref="BB101:BC101"/>
    <mergeCell ref="BF101:BG101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V43:AW43"/>
    <mergeCell ref="AX43:AY43"/>
    <mergeCell ref="AZ43:BA43"/>
    <mergeCell ref="BB43:BC43"/>
    <mergeCell ref="BF43:BG43"/>
    <mergeCell ref="BH43:BI43"/>
    <mergeCell ref="BJ43:BK43"/>
    <mergeCell ref="BL43:BM43"/>
    <mergeCell ref="AV41:AW41"/>
    <mergeCell ref="AX41:AY41"/>
    <mergeCell ref="AZ41:BA41"/>
    <mergeCell ref="BB41:BC41"/>
    <mergeCell ref="BF41:BG41"/>
    <mergeCell ref="AV40:AW40"/>
    <mergeCell ref="AX40:AY40"/>
    <mergeCell ref="AZ40:BA40"/>
    <mergeCell ref="BB40:BC40"/>
    <mergeCell ref="BF40:BG40"/>
    <mergeCell ref="BH40:BI40"/>
    <mergeCell ref="BJ40:BK40"/>
    <mergeCell ref="BL40:BM40"/>
    <mergeCell ref="AV14:AW14"/>
    <mergeCell ref="AX14:AY14"/>
    <mergeCell ref="AZ14:BA14"/>
    <mergeCell ref="BB14:BC14"/>
    <mergeCell ref="BF14:BG14"/>
    <mergeCell ref="AL14:AM14"/>
    <mergeCell ref="AN14:AO14"/>
    <mergeCell ref="AP14:AQ14"/>
    <mergeCell ref="AR14:AS14"/>
    <mergeCell ref="H40:I40"/>
    <mergeCell ref="J40:K40"/>
    <mergeCell ref="L40:M40"/>
    <mergeCell ref="N40:O40"/>
    <mergeCell ref="R40:S40"/>
    <mergeCell ref="T40:U40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B40:AC40"/>
    <mergeCell ref="AD40:AE40"/>
    <mergeCell ref="H41:I41"/>
    <mergeCell ref="J41:K41"/>
    <mergeCell ref="L41:M41"/>
    <mergeCell ref="N41:O41"/>
    <mergeCell ref="R41:S41"/>
    <mergeCell ref="T41:U41"/>
    <mergeCell ref="V41:W41"/>
    <mergeCell ref="X41:Y41"/>
    <mergeCell ref="H43:I43"/>
    <mergeCell ref="J43:K43"/>
    <mergeCell ref="L43:M43"/>
    <mergeCell ref="N43:O43"/>
    <mergeCell ref="R43:S43"/>
    <mergeCell ref="V43:W43"/>
    <mergeCell ref="X43:Y43"/>
    <mergeCell ref="AB43:AC43"/>
    <mergeCell ref="AD43:AE43"/>
    <mergeCell ref="AF43:AG43"/>
    <mergeCell ref="AH43:AI43"/>
    <mergeCell ref="T43:U43"/>
    <mergeCell ref="V40:W40"/>
    <mergeCell ref="X40:Y40"/>
    <mergeCell ref="AB41:AC41"/>
    <mergeCell ref="AD41:AE41"/>
    <mergeCell ref="AF41:AG41"/>
    <mergeCell ref="AH41:AI41"/>
    <mergeCell ref="AF40:AG40"/>
    <mergeCell ref="AH40:AI40"/>
    <mergeCell ref="AL40:AM40"/>
    <mergeCell ref="AL41:AM41"/>
    <mergeCell ref="AN40:AO40"/>
    <mergeCell ref="AP40:AQ40"/>
    <mergeCell ref="AR40:AS40"/>
    <mergeCell ref="AR41:AS41"/>
    <mergeCell ref="AP41:AQ41"/>
    <mergeCell ref="AN41:AO41"/>
    <mergeCell ref="AL43:AM43"/>
    <mergeCell ref="AN43:AO43"/>
    <mergeCell ref="AP43:AQ43"/>
    <mergeCell ref="AR43:AS43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BJ60:BK60"/>
    <mergeCell ref="BL60:BM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R60:AS60"/>
    <mergeCell ref="AV60:AW60"/>
    <mergeCell ref="AX60:AY60"/>
    <mergeCell ref="AZ60:BA60"/>
    <mergeCell ref="BB60:BC60"/>
    <mergeCell ref="AF60:AG60"/>
    <mergeCell ref="AH60:AI60"/>
    <mergeCell ref="AL60:AM60"/>
    <mergeCell ref="AN60:AO60"/>
    <mergeCell ref="AP60:AQ60"/>
    <mergeCell ref="BB86:BC86"/>
    <mergeCell ref="BF86:BG86"/>
    <mergeCell ref="BH86:BI86"/>
    <mergeCell ref="AL86:AM86"/>
    <mergeCell ref="AN86:AO86"/>
    <mergeCell ref="AP86:AQ86"/>
    <mergeCell ref="AR86:AS86"/>
    <mergeCell ref="AV86:AW86"/>
    <mergeCell ref="BF60:BG60"/>
    <mergeCell ref="BH60:BI60"/>
    <mergeCell ref="BL87:BM87"/>
    <mergeCell ref="AP87:AQ87"/>
    <mergeCell ref="AR87:AS87"/>
    <mergeCell ref="AV87:AW87"/>
    <mergeCell ref="AX87:AY87"/>
    <mergeCell ref="AZ87:BA87"/>
    <mergeCell ref="BJ86:BK86"/>
    <mergeCell ref="BL86:BM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X86:AY86"/>
    <mergeCell ref="AZ86:BA86"/>
    <mergeCell ref="BB87:BC87"/>
    <mergeCell ref="BF87:BG87"/>
    <mergeCell ref="BH87:BI87"/>
    <mergeCell ref="BJ87:BK87"/>
    <mergeCell ref="AF89:AG89"/>
    <mergeCell ref="AH89:AI89"/>
    <mergeCell ref="AL89:AM89"/>
    <mergeCell ref="AN89:AO89"/>
    <mergeCell ref="AP89:AQ89"/>
    <mergeCell ref="BF89:BG89"/>
    <mergeCell ref="BH89:BI89"/>
    <mergeCell ref="BJ89:BK89"/>
    <mergeCell ref="BL89:BM89"/>
    <mergeCell ref="AR89:AS89"/>
    <mergeCell ref="AV89:AW89"/>
    <mergeCell ref="AX89:AY89"/>
    <mergeCell ref="AZ89:BA89"/>
    <mergeCell ref="BB89:BC89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</mergeCells>
  <phoneticPr fontId="2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6C11-0E1C-4E44-B542-BBE6CC352627}">
  <dimension ref="D7:BM123"/>
  <sheetViews>
    <sheetView showGridLines="0" zoomScale="110" zoomScaleNormal="110" workbookViewId="0">
      <selection activeCell="F3" sqref="F3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</cols>
  <sheetData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</row>
    <row r="12" spans="7:65" hidden="1" x14ac:dyDescent="0.2">
      <c r="H12">
        <v>137</v>
      </c>
      <c r="R12">
        <v>937</v>
      </c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</row>
    <row r="13" spans="7:65" hidden="1" x14ac:dyDescent="0.2">
      <c r="H13" s="237" t="s">
        <v>111</v>
      </c>
      <c r="I13" s="237"/>
      <c r="J13" s="237" t="s">
        <v>112</v>
      </c>
      <c r="K13" s="237"/>
      <c r="L13" s="237" t="s">
        <v>113</v>
      </c>
      <c r="M13" s="237"/>
      <c r="N13" s="237" t="s">
        <v>114</v>
      </c>
      <c r="O13" s="237"/>
      <c r="R13" s="237" t="s">
        <v>111</v>
      </c>
      <c r="S13" s="237"/>
      <c r="T13" s="237" t="s">
        <v>112</v>
      </c>
      <c r="U13" s="237"/>
      <c r="V13" s="237" t="s">
        <v>113</v>
      </c>
      <c r="W13" s="237"/>
      <c r="X13" s="237" t="s">
        <v>114</v>
      </c>
      <c r="Y13" s="237"/>
      <c r="AB13" s="237" t="s">
        <v>115</v>
      </c>
      <c r="AC13" s="237"/>
      <c r="AD13" s="237" t="s">
        <v>116</v>
      </c>
      <c r="AE13" s="237"/>
      <c r="AF13" s="237" t="s">
        <v>117</v>
      </c>
      <c r="AG13" s="237"/>
      <c r="AH13" s="237" t="s">
        <v>118</v>
      </c>
      <c r="AI13" s="237"/>
      <c r="AL13" s="237" t="s">
        <v>115</v>
      </c>
      <c r="AM13" s="237"/>
      <c r="AN13" s="237" t="s">
        <v>116</v>
      </c>
      <c r="AO13" s="237"/>
      <c r="AP13" s="237" t="s">
        <v>117</v>
      </c>
      <c r="AQ13" s="237"/>
      <c r="AR13" s="237" t="s">
        <v>118</v>
      </c>
      <c r="AS13" s="237"/>
      <c r="AV13" s="237" t="s">
        <v>119</v>
      </c>
      <c r="AW13" s="237"/>
      <c r="AX13" s="237" t="s">
        <v>120</v>
      </c>
      <c r="AY13" s="237"/>
      <c r="AZ13" s="237" t="s">
        <v>121</v>
      </c>
      <c r="BA13" s="237"/>
      <c r="BB13" s="237" t="s">
        <v>122</v>
      </c>
      <c r="BC13" s="237"/>
      <c r="BF13" s="237" t="s">
        <v>119</v>
      </c>
      <c r="BG13" s="237"/>
      <c r="BH13" s="237" t="s">
        <v>120</v>
      </c>
      <c r="BI13" s="237"/>
      <c r="BJ13" s="237" t="s">
        <v>121</v>
      </c>
      <c r="BK13" s="237"/>
      <c r="BL13" s="237" t="s">
        <v>122</v>
      </c>
      <c r="BM13" s="237"/>
    </row>
    <row r="14" spans="7:65" hidden="1" x14ac:dyDescent="0.2">
      <c r="H14" s="237">
        <v>5</v>
      </c>
      <c r="I14" s="237"/>
      <c r="J14" s="237">
        <v>6</v>
      </c>
      <c r="K14" s="237"/>
      <c r="L14" s="237">
        <v>7</v>
      </c>
      <c r="M14" s="237"/>
      <c r="N14" s="237">
        <v>8</v>
      </c>
      <c r="O14" s="237"/>
      <c r="R14" s="237">
        <v>5</v>
      </c>
      <c r="S14" s="237"/>
      <c r="T14" s="237">
        <v>6</v>
      </c>
      <c r="U14" s="237"/>
      <c r="V14" s="237">
        <v>7</v>
      </c>
      <c r="W14" s="237"/>
      <c r="X14" s="237">
        <v>8</v>
      </c>
      <c r="Y14" s="237"/>
      <c r="AB14" s="237">
        <v>5</v>
      </c>
      <c r="AC14" s="237"/>
      <c r="AD14" s="237">
        <v>6</v>
      </c>
      <c r="AE14" s="237"/>
      <c r="AF14" s="237">
        <v>7</v>
      </c>
      <c r="AG14" s="237"/>
      <c r="AH14" s="237">
        <v>8</v>
      </c>
      <c r="AI14" s="237"/>
      <c r="AL14" s="237">
        <v>5</v>
      </c>
      <c r="AM14" s="237"/>
      <c r="AN14" s="237">
        <v>6</v>
      </c>
      <c r="AO14" s="237"/>
      <c r="AP14" s="237">
        <v>7</v>
      </c>
      <c r="AQ14" s="237"/>
      <c r="AR14" s="237">
        <v>8</v>
      </c>
      <c r="AS14" s="237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</row>
    <row r="16" spans="7:65" hidden="1" x14ac:dyDescent="0.2">
      <c r="G16" t="s">
        <v>161</v>
      </c>
      <c r="H16">
        <v>6.1</v>
      </c>
      <c r="I16">
        <v>6.5</v>
      </c>
      <c r="J16">
        <v>6.25</v>
      </c>
      <c r="K16">
        <v>6.7</v>
      </c>
      <c r="L16">
        <v>6.4</v>
      </c>
      <c r="M16">
        <v>6.9</v>
      </c>
      <c r="N16">
        <v>6.6</v>
      </c>
      <c r="O16">
        <v>7.1</v>
      </c>
      <c r="Q16" t="s">
        <v>161</v>
      </c>
      <c r="R16">
        <v>5.3</v>
      </c>
      <c r="S16">
        <v>5.3</v>
      </c>
      <c r="T16">
        <v>5.0999999999999996</v>
      </c>
      <c r="U16">
        <v>5.0999999999999996</v>
      </c>
      <c r="V16">
        <v>4.95</v>
      </c>
      <c r="W16">
        <v>4.95</v>
      </c>
      <c r="X16">
        <v>4.8</v>
      </c>
      <c r="Y16">
        <v>4.8</v>
      </c>
      <c r="AA16" t="s">
        <v>161</v>
      </c>
      <c r="AB16">
        <v>6.9</v>
      </c>
      <c r="AC16">
        <v>7.4</v>
      </c>
      <c r="AD16">
        <v>7.25</v>
      </c>
      <c r="AE16">
        <v>7.85</v>
      </c>
      <c r="AF16">
        <v>7.35</v>
      </c>
      <c r="AG16">
        <v>8</v>
      </c>
      <c r="AH16">
        <v>7.5</v>
      </c>
      <c r="AI16">
        <v>8.15</v>
      </c>
      <c r="AK16" t="s">
        <v>161</v>
      </c>
      <c r="AL16">
        <v>5.05</v>
      </c>
      <c r="AM16">
        <v>5.05</v>
      </c>
      <c r="AN16">
        <v>6.2</v>
      </c>
      <c r="AO16">
        <v>6.35</v>
      </c>
      <c r="AP16">
        <v>6</v>
      </c>
      <c r="AQ16">
        <v>6</v>
      </c>
      <c r="AR16">
        <v>5.8</v>
      </c>
      <c r="AS16">
        <v>5.8</v>
      </c>
    </row>
    <row r="17" spans="7:4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5.3</v>
      </c>
      <c r="S17">
        <v>5</v>
      </c>
      <c r="T17">
        <v>5.0999999999999996</v>
      </c>
      <c r="U17">
        <v>5.0999999999999996</v>
      </c>
      <c r="V17">
        <v>4.95</v>
      </c>
      <c r="W17">
        <v>4.95</v>
      </c>
      <c r="X17">
        <v>4.8</v>
      </c>
      <c r="Y17">
        <v>4.8</v>
      </c>
      <c r="AA17" t="s">
        <v>34</v>
      </c>
      <c r="AB17">
        <v>6.5</v>
      </c>
      <c r="AC17">
        <v>7.05</v>
      </c>
      <c r="AD17">
        <v>6.9</v>
      </c>
      <c r="AE17">
        <v>7.45</v>
      </c>
      <c r="AF17">
        <v>7</v>
      </c>
      <c r="AG17">
        <v>7.6</v>
      </c>
      <c r="AH17">
        <v>7.1</v>
      </c>
      <c r="AI17">
        <v>7.45</v>
      </c>
      <c r="AK17" t="s">
        <v>34</v>
      </c>
      <c r="AL17">
        <v>5.05</v>
      </c>
      <c r="AM17">
        <v>5.05</v>
      </c>
      <c r="AN17">
        <v>6.2</v>
      </c>
      <c r="AO17">
        <v>6.35</v>
      </c>
      <c r="AP17">
        <v>6</v>
      </c>
      <c r="AQ17">
        <v>6</v>
      </c>
      <c r="AR17">
        <v>5.8</v>
      </c>
      <c r="AS17">
        <v>5.8</v>
      </c>
    </row>
    <row r="18" spans="7:45" hidden="1" x14ac:dyDescent="0.2">
      <c r="G18" t="s">
        <v>35</v>
      </c>
      <c r="H18">
        <v>5.5</v>
      </c>
      <c r="I18">
        <v>5.85</v>
      </c>
      <c r="J18">
        <v>5.5</v>
      </c>
      <c r="K18">
        <v>5.6</v>
      </c>
      <c r="L18">
        <v>5.7</v>
      </c>
      <c r="M18">
        <v>5.8</v>
      </c>
      <c r="N18">
        <v>5.95</v>
      </c>
      <c r="O18">
        <v>6.5</v>
      </c>
      <c r="Q18" t="s">
        <v>35</v>
      </c>
      <c r="R18">
        <v>5.3</v>
      </c>
      <c r="S18">
        <v>5.3</v>
      </c>
      <c r="T18">
        <v>5.0999999999999996</v>
      </c>
      <c r="U18">
        <v>5.0999999999999996</v>
      </c>
      <c r="V18">
        <v>4.95</v>
      </c>
      <c r="W18">
        <v>4.95</v>
      </c>
      <c r="X18">
        <v>4.8</v>
      </c>
      <c r="Y18">
        <v>4.8</v>
      </c>
      <c r="AA18" t="s">
        <v>35</v>
      </c>
      <c r="AB18">
        <v>6.2</v>
      </c>
      <c r="AC18">
        <v>6.7</v>
      </c>
      <c r="AD18">
        <v>6.55</v>
      </c>
      <c r="AE18">
        <v>7.15</v>
      </c>
      <c r="AF18">
        <v>6.65</v>
      </c>
      <c r="AG18">
        <v>7.3</v>
      </c>
      <c r="AH18">
        <v>6.8</v>
      </c>
      <c r="AI18">
        <v>7.45</v>
      </c>
      <c r="AK18" t="s">
        <v>35</v>
      </c>
      <c r="AL18">
        <v>5.05</v>
      </c>
      <c r="AM18">
        <v>5.05</v>
      </c>
      <c r="AN18">
        <v>6</v>
      </c>
      <c r="AO18">
        <v>6.3</v>
      </c>
      <c r="AP18">
        <v>6</v>
      </c>
      <c r="AQ18">
        <v>6</v>
      </c>
      <c r="AR18">
        <v>5.8</v>
      </c>
      <c r="AS18">
        <v>5.8</v>
      </c>
    </row>
    <row r="19" spans="7:4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5.45</v>
      </c>
      <c r="M19">
        <v>6</v>
      </c>
      <c r="N19">
        <v>5.8</v>
      </c>
      <c r="O19">
        <v>6.3</v>
      </c>
      <c r="Q19" t="s">
        <v>36</v>
      </c>
      <c r="R19">
        <v>4.95</v>
      </c>
      <c r="S19">
        <v>5.2</v>
      </c>
      <c r="T19">
        <v>5.0999999999999996</v>
      </c>
      <c r="U19">
        <v>5.0999999999999996</v>
      </c>
      <c r="V19">
        <v>4.95</v>
      </c>
      <c r="W19">
        <v>4.95</v>
      </c>
      <c r="X19">
        <v>4.75</v>
      </c>
      <c r="Y19">
        <v>4.8</v>
      </c>
      <c r="AA19" t="s">
        <v>36</v>
      </c>
      <c r="AB19">
        <v>5.9</v>
      </c>
      <c r="AC19">
        <v>6.45</v>
      </c>
      <c r="AD19">
        <v>6.3</v>
      </c>
      <c r="AE19">
        <v>6.85</v>
      </c>
      <c r="AF19">
        <v>6.4</v>
      </c>
      <c r="AG19">
        <v>7</v>
      </c>
      <c r="AH19">
        <v>5.55</v>
      </c>
      <c r="AI19">
        <v>7.2</v>
      </c>
      <c r="AK19" t="s">
        <v>36</v>
      </c>
      <c r="AL19">
        <v>5.05</v>
      </c>
      <c r="AM19">
        <v>5.05</v>
      </c>
      <c r="AN19">
        <v>5.8</v>
      </c>
      <c r="AO19">
        <v>6.1</v>
      </c>
      <c r="AP19">
        <v>5.8</v>
      </c>
      <c r="AQ19">
        <v>6</v>
      </c>
      <c r="AR19">
        <v>5.7</v>
      </c>
      <c r="AS19">
        <v>6</v>
      </c>
    </row>
    <row r="20" spans="7:45" hidden="1" x14ac:dyDescent="0.2">
      <c r="G20" t="s">
        <v>37</v>
      </c>
      <c r="H20">
        <v>5.2</v>
      </c>
      <c r="I20">
        <v>5.4</v>
      </c>
      <c r="J20">
        <v>5.4</v>
      </c>
      <c r="K20">
        <v>5.65</v>
      </c>
      <c r="L20">
        <v>5.7</v>
      </c>
      <c r="M20">
        <v>5.85</v>
      </c>
      <c r="N20">
        <v>5.85</v>
      </c>
      <c r="O20">
        <v>6.05</v>
      </c>
      <c r="Q20" t="s">
        <v>37</v>
      </c>
      <c r="R20">
        <v>4.8</v>
      </c>
      <c r="S20">
        <v>4.5999999999999996</v>
      </c>
      <c r="T20">
        <v>4.75</v>
      </c>
      <c r="U20">
        <v>5</v>
      </c>
      <c r="V20">
        <v>4.7</v>
      </c>
      <c r="W20">
        <v>4.95</v>
      </c>
      <c r="X20">
        <v>4.6500000000000004</v>
      </c>
      <c r="Y20">
        <v>4.8</v>
      </c>
      <c r="AA20" t="s">
        <v>37</v>
      </c>
      <c r="AB20">
        <v>5.7</v>
      </c>
      <c r="AC20">
        <v>6.25</v>
      </c>
      <c r="AD20">
        <v>6.05</v>
      </c>
      <c r="AE20">
        <v>6.65</v>
      </c>
      <c r="AF20">
        <v>6.15</v>
      </c>
      <c r="AG20">
        <v>6.8</v>
      </c>
      <c r="AH20">
        <v>6.35</v>
      </c>
      <c r="AI20">
        <v>6.95</v>
      </c>
      <c r="AK20" t="s">
        <v>37</v>
      </c>
      <c r="AL20">
        <v>5.05</v>
      </c>
      <c r="AM20">
        <v>5.05</v>
      </c>
      <c r="AN20">
        <v>5.6</v>
      </c>
      <c r="AO20">
        <v>5.9</v>
      </c>
      <c r="AP20">
        <v>5.6</v>
      </c>
      <c r="AQ20">
        <v>5.95</v>
      </c>
      <c r="AR20">
        <v>5.55</v>
      </c>
      <c r="AS20">
        <v>5.8</v>
      </c>
    </row>
    <row r="21" spans="7:45" hidden="1" x14ac:dyDescent="0.2">
      <c r="G21" t="s">
        <v>80</v>
      </c>
      <c r="H21">
        <v>4.8</v>
      </c>
      <c r="I21">
        <v>5.25</v>
      </c>
      <c r="J21">
        <v>5</v>
      </c>
      <c r="K21">
        <v>5.45</v>
      </c>
      <c r="L21">
        <v>5.15</v>
      </c>
      <c r="M21">
        <v>5.65</v>
      </c>
      <c r="N21">
        <v>5.35</v>
      </c>
      <c r="O21">
        <v>5.85</v>
      </c>
      <c r="Q21" t="s">
        <v>80</v>
      </c>
      <c r="R21">
        <v>4.6500000000000004</v>
      </c>
      <c r="S21">
        <v>4.9000000000000004</v>
      </c>
      <c r="T21">
        <v>4.6500000000000004</v>
      </c>
      <c r="U21">
        <v>4.8499999999999996</v>
      </c>
      <c r="V21">
        <v>4.5999999999999996</v>
      </c>
      <c r="W21">
        <v>4.8499999999999996</v>
      </c>
      <c r="X21">
        <v>4.5</v>
      </c>
      <c r="Y21">
        <v>4.8</v>
      </c>
      <c r="AA21" t="s">
        <v>80</v>
      </c>
      <c r="AB21">
        <v>5.5</v>
      </c>
      <c r="AC21">
        <v>6.05</v>
      </c>
      <c r="AD21">
        <v>5.85</v>
      </c>
      <c r="AE21">
        <v>6.4</v>
      </c>
      <c r="AF21">
        <v>6</v>
      </c>
      <c r="AG21">
        <v>6.55</v>
      </c>
      <c r="AH21">
        <v>6.15</v>
      </c>
      <c r="AI21">
        <v>6.75</v>
      </c>
      <c r="AK21" t="s">
        <v>80</v>
      </c>
      <c r="AL21">
        <v>4.75</v>
      </c>
      <c r="AM21">
        <v>5</v>
      </c>
      <c r="AN21">
        <v>5.45</v>
      </c>
      <c r="AO21">
        <v>5.75</v>
      </c>
      <c r="AP21">
        <v>5.5</v>
      </c>
      <c r="AQ21">
        <v>5.75</v>
      </c>
      <c r="AR21">
        <v>5.4</v>
      </c>
      <c r="AS21">
        <v>5.7</v>
      </c>
    </row>
    <row r="22" spans="7:45" hidden="1" x14ac:dyDescent="0.2">
      <c r="G22" t="s">
        <v>38</v>
      </c>
      <c r="H22">
        <v>4.5</v>
      </c>
      <c r="I22">
        <v>4.95</v>
      </c>
      <c r="J22">
        <v>4.7</v>
      </c>
      <c r="K22">
        <v>5.15</v>
      </c>
      <c r="L22">
        <v>4.8499999999999996</v>
      </c>
      <c r="M22">
        <v>5.35</v>
      </c>
      <c r="N22">
        <v>5.05</v>
      </c>
      <c r="O22">
        <v>5.55</v>
      </c>
      <c r="Q22" t="s">
        <v>38</v>
      </c>
      <c r="R22">
        <v>4.4000000000000004</v>
      </c>
      <c r="S22">
        <v>4.6500000000000004</v>
      </c>
      <c r="T22">
        <v>4.4000000000000004</v>
      </c>
      <c r="U22">
        <v>4.6500000000000004</v>
      </c>
      <c r="V22">
        <v>4.4000000000000004</v>
      </c>
      <c r="W22">
        <v>4.6500000000000004</v>
      </c>
      <c r="X22">
        <v>4.3499999999999996</v>
      </c>
      <c r="Y22">
        <v>4.5999999999999996</v>
      </c>
      <c r="AA22" t="s">
        <v>38</v>
      </c>
      <c r="AB22">
        <v>5.2</v>
      </c>
      <c r="AC22">
        <v>5.75</v>
      </c>
      <c r="AD22">
        <v>5.5</v>
      </c>
      <c r="AE22">
        <v>6.05</v>
      </c>
      <c r="AF22">
        <v>5.65</v>
      </c>
      <c r="AG22">
        <v>6.2</v>
      </c>
      <c r="AH22">
        <v>5.8</v>
      </c>
      <c r="AI22">
        <v>6.4</v>
      </c>
      <c r="AK22" t="s">
        <v>38</v>
      </c>
      <c r="AL22">
        <v>4.55</v>
      </c>
      <c r="AM22">
        <v>4.8</v>
      </c>
      <c r="AN22">
        <v>5.15</v>
      </c>
      <c r="AO22">
        <v>4.45</v>
      </c>
      <c r="AP22">
        <v>5.2</v>
      </c>
      <c r="AQ22">
        <v>5.5</v>
      </c>
      <c r="AR22">
        <v>5.15</v>
      </c>
      <c r="AS22">
        <v>5.45</v>
      </c>
    </row>
    <row r="23" spans="7:45" hidden="1" x14ac:dyDescent="0.2">
      <c r="G23" t="s">
        <v>39</v>
      </c>
      <c r="H23">
        <v>4.25</v>
      </c>
      <c r="I23">
        <v>4.7</v>
      </c>
      <c r="J23">
        <v>4.45</v>
      </c>
      <c r="K23">
        <v>4.9000000000000004</v>
      </c>
      <c r="L23">
        <v>4.5999999999999996</v>
      </c>
      <c r="M23">
        <v>5.0999999999999996</v>
      </c>
      <c r="N23">
        <v>4.8</v>
      </c>
      <c r="O23">
        <v>5.3</v>
      </c>
      <c r="Q23" t="s">
        <v>39</v>
      </c>
      <c r="R23">
        <v>4.2</v>
      </c>
      <c r="S23">
        <v>4.4000000000000004</v>
      </c>
      <c r="T23">
        <v>4.2</v>
      </c>
      <c r="U23">
        <v>4.45</v>
      </c>
      <c r="V23">
        <v>4.2</v>
      </c>
      <c r="W23">
        <v>4.4000000000000004</v>
      </c>
      <c r="X23">
        <v>4.2</v>
      </c>
      <c r="Y23">
        <v>4.4000000000000004</v>
      </c>
      <c r="AA23" t="s">
        <v>39</v>
      </c>
      <c r="AB23">
        <v>4.9000000000000004</v>
      </c>
      <c r="AC23">
        <v>5.4</v>
      </c>
      <c r="AD23">
        <v>5.25</v>
      </c>
      <c r="AE23">
        <v>5.8</v>
      </c>
      <c r="AF23">
        <v>5.4</v>
      </c>
      <c r="AG23">
        <v>5.9</v>
      </c>
      <c r="AH23">
        <v>5.5</v>
      </c>
      <c r="AI23">
        <v>6.1</v>
      </c>
      <c r="AK23" t="s">
        <v>39</v>
      </c>
      <c r="AL23">
        <v>4.3499999999999996</v>
      </c>
      <c r="AM23">
        <v>4.5999999999999996</v>
      </c>
      <c r="AN23">
        <v>4.9000000000000004</v>
      </c>
      <c r="AO23">
        <v>5.15</v>
      </c>
      <c r="AP23">
        <v>4.95</v>
      </c>
      <c r="AQ23">
        <v>5.25</v>
      </c>
      <c r="AR23">
        <v>4.95</v>
      </c>
      <c r="AS23">
        <v>5.2</v>
      </c>
    </row>
    <row r="24" spans="7:45" hidden="1" x14ac:dyDescent="0.2">
      <c r="G24" t="s">
        <v>162</v>
      </c>
      <c r="H24">
        <v>5.6</v>
      </c>
      <c r="I24">
        <v>5.9</v>
      </c>
      <c r="J24">
        <v>5.8</v>
      </c>
      <c r="K24">
        <v>6.15</v>
      </c>
      <c r="L24">
        <v>6</v>
      </c>
      <c r="M24">
        <v>6.3</v>
      </c>
      <c r="N24">
        <v>6.15</v>
      </c>
      <c r="O24">
        <v>6.55</v>
      </c>
      <c r="Q24" t="s">
        <v>162</v>
      </c>
      <c r="R24">
        <v>5.0999999999999996</v>
      </c>
      <c r="S24">
        <v>5.3</v>
      </c>
      <c r="T24">
        <v>5.05</v>
      </c>
      <c r="U24">
        <v>5.0999999999999996</v>
      </c>
      <c r="V24">
        <v>4.95</v>
      </c>
      <c r="W24">
        <v>4.95</v>
      </c>
      <c r="X24">
        <v>4.8</v>
      </c>
      <c r="Y24">
        <v>4.8</v>
      </c>
      <c r="AA24" t="s">
        <v>162</v>
      </c>
      <c r="AB24">
        <v>6.4</v>
      </c>
      <c r="AC24">
        <v>6.75</v>
      </c>
      <c r="AD24">
        <v>6.8</v>
      </c>
      <c r="AE24">
        <v>7.2</v>
      </c>
      <c r="AF24">
        <v>6.9</v>
      </c>
      <c r="AG24">
        <v>7.3</v>
      </c>
      <c r="AH24">
        <v>7.05</v>
      </c>
      <c r="AI24">
        <v>7.5</v>
      </c>
      <c r="AK24" t="s">
        <v>162</v>
      </c>
      <c r="AL24">
        <v>5.05</v>
      </c>
      <c r="AM24">
        <v>5.05</v>
      </c>
      <c r="AN24">
        <v>5.7</v>
      </c>
      <c r="AO24">
        <v>6.05</v>
      </c>
      <c r="AP24">
        <v>5.8</v>
      </c>
      <c r="AQ24">
        <v>6</v>
      </c>
      <c r="AR24">
        <v>5.75</v>
      </c>
      <c r="AS24">
        <v>5.8</v>
      </c>
    </row>
    <row r="25" spans="7:45" hidden="1" x14ac:dyDescent="0.2">
      <c r="G25" t="s">
        <v>40</v>
      </c>
      <c r="H25">
        <v>5.4</v>
      </c>
      <c r="I25">
        <v>5.5</v>
      </c>
      <c r="J25">
        <v>5.6</v>
      </c>
      <c r="K25">
        <v>5.85</v>
      </c>
      <c r="L25">
        <v>5.7</v>
      </c>
      <c r="M25">
        <v>6.05</v>
      </c>
      <c r="N25">
        <v>5.95</v>
      </c>
      <c r="O25">
        <v>6.2</v>
      </c>
      <c r="Q25" t="s">
        <v>40</v>
      </c>
      <c r="R25">
        <v>4.95</v>
      </c>
      <c r="S25">
        <v>5.2</v>
      </c>
      <c r="T25">
        <v>4.9000000000000004</v>
      </c>
      <c r="U25">
        <v>5.0999999999999996</v>
      </c>
      <c r="V25">
        <v>4.8</v>
      </c>
      <c r="W25">
        <v>4.95</v>
      </c>
      <c r="X25">
        <v>4.75</v>
      </c>
      <c r="Y25">
        <v>4.8</v>
      </c>
      <c r="AA25" t="s">
        <v>40</v>
      </c>
      <c r="AB25">
        <v>6.1</v>
      </c>
      <c r="AC25">
        <v>6.5</v>
      </c>
      <c r="AD25">
        <v>6.45</v>
      </c>
      <c r="AE25">
        <v>6.9</v>
      </c>
      <c r="AF25">
        <v>6.6</v>
      </c>
      <c r="AG25">
        <v>7</v>
      </c>
      <c r="AH25">
        <v>6.75</v>
      </c>
      <c r="AI25">
        <v>7.2</v>
      </c>
      <c r="AK25" t="s">
        <v>40</v>
      </c>
      <c r="AL25">
        <v>5.05</v>
      </c>
      <c r="AM25">
        <v>5.05</v>
      </c>
      <c r="AN25">
        <v>5.7</v>
      </c>
      <c r="AO25">
        <v>6.05</v>
      </c>
      <c r="AP25">
        <v>5.8</v>
      </c>
      <c r="AQ25">
        <v>6</v>
      </c>
      <c r="AR25">
        <v>5.75</v>
      </c>
      <c r="AS25">
        <v>5.8</v>
      </c>
    </row>
    <row r="26" spans="7:45" hidden="1" x14ac:dyDescent="0.2">
      <c r="G26" t="s">
        <v>41</v>
      </c>
      <c r="H26">
        <v>5.0999999999999996</v>
      </c>
      <c r="I26">
        <v>5.45</v>
      </c>
      <c r="J26">
        <v>5.3</v>
      </c>
      <c r="K26">
        <v>5.65</v>
      </c>
      <c r="L26">
        <v>5.5</v>
      </c>
      <c r="M26">
        <v>5.85</v>
      </c>
      <c r="N26">
        <v>5.65</v>
      </c>
      <c r="O26">
        <v>6.05</v>
      </c>
      <c r="Q26" t="s">
        <v>41</v>
      </c>
      <c r="R26">
        <v>4.8</v>
      </c>
      <c r="S26">
        <v>5.05</v>
      </c>
      <c r="T26">
        <v>4.75</v>
      </c>
      <c r="U26">
        <v>5</v>
      </c>
      <c r="V26">
        <v>4.7</v>
      </c>
      <c r="W26">
        <v>4.95</v>
      </c>
      <c r="X26">
        <v>4.6500000000000004</v>
      </c>
      <c r="Y26">
        <v>4.8</v>
      </c>
      <c r="AA26" t="s">
        <v>41</v>
      </c>
      <c r="AB26">
        <v>5.85</v>
      </c>
      <c r="AC26">
        <v>6.25</v>
      </c>
      <c r="AD26">
        <v>6.2</v>
      </c>
      <c r="AE26">
        <v>6.65</v>
      </c>
      <c r="AF26">
        <v>6.35</v>
      </c>
      <c r="AG26">
        <v>6.8</v>
      </c>
      <c r="AH26">
        <v>6.55</v>
      </c>
      <c r="AI26">
        <v>7</v>
      </c>
      <c r="AK26" t="s">
        <v>41</v>
      </c>
      <c r="AL26">
        <v>5.05</v>
      </c>
      <c r="AM26">
        <v>5.05</v>
      </c>
      <c r="AN26">
        <v>5.6</v>
      </c>
      <c r="AO26">
        <v>6.05</v>
      </c>
      <c r="AP26">
        <v>5.65</v>
      </c>
      <c r="AQ26">
        <v>5.95</v>
      </c>
      <c r="AR26">
        <v>5.8</v>
      </c>
      <c r="AS26">
        <v>5.8</v>
      </c>
    </row>
    <row r="27" spans="7:45" hidden="1" x14ac:dyDescent="0.2">
      <c r="G27" t="s">
        <v>42</v>
      </c>
      <c r="H27">
        <v>4.9000000000000004</v>
      </c>
      <c r="I27">
        <v>5.25</v>
      </c>
      <c r="J27">
        <v>5.0999999999999996</v>
      </c>
      <c r="K27">
        <v>5.45</v>
      </c>
      <c r="L27">
        <v>5.3</v>
      </c>
      <c r="M27">
        <v>5.65</v>
      </c>
      <c r="N27">
        <v>5.45</v>
      </c>
      <c r="O27">
        <v>5.85</v>
      </c>
      <c r="Q27" t="s">
        <v>42</v>
      </c>
      <c r="R27">
        <v>4.6500000000000004</v>
      </c>
      <c r="S27">
        <v>4.9000000000000004</v>
      </c>
      <c r="T27">
        <v>4.5999999999999996</v>
      </c>
      <c r="U27">
        <v>4.8499999999999996</v>
      </c>
      <c r="V27">
        <v>4.5999999999999996</v>
      </c>
      <c r="W27">
        <v>4.8499999999999996</v>
      </c>
      <c r="X27">
        <v>4.55</v>
      </c>
      <c r="Y27">
        <v>4.8</v>
      </c>
      <c r="AA27" t="s">
        <v>42</v>
      </c>
      <c r="AB27">
        <v>5.66</v>
      </c>
      <c r="AC27">
        <v>6.05</v>
      </c>
      <c r="AD27">
        <v>6</v>
      </c>
      <c r="AE27">
        <v>6.4</v>
      </c>
      <c r="AF27">
        <v>6.1</v>
      </c>
      <c r="AG27">
        <v>6.55</v>
      </c>
      <c r="AH27">
        <v>6.3</v>
      </c>
      <c r="AI27">
        <v>6.75</v>
      </c>
      <c r="AK27" t="s">
        <v>42</v>
      </c>
      <c r="AL27">
        <v>4.75</v>
      </c>
      <c r="AM27">
        <v>5.05</v>
      </c>
      <c r="AN27">
        <v>5.45</v>
      </c>
      <c r="AO27">
        <v>5.75</v>
      </c>
      <c r="AP27">
        <v>5.5</v>
      </c>
      <c r="AQ27">
        <v>5</v>
      </c>
      <c r="AR27">
        <v>5.5</v>
      </c>
      <c r="AS27">
        <v>5.8</v>
      </c>
    </row>
    <row r="28" spans="7:45" hidden="1" x14ac:dyDescent="0.2">
      <c r="G28" t="s">
        <v>43</v>
      </c>
      <c r="H28">
        <v>4.75</v>
      </c>
      <c r="I28">
        <v>5.0999999999999996</v>
      </c>
      <c r="J28">
        <v>4.9000000000000004</v>
      </c>
      <c r="K28">
        <v>5.3</v>
      </c>
      <c r="L28">
        <v>5.0999999999999996</v>
      </c>
      <c r="M28">
        <v>5.5</v>
      </c>
      <c r="N28">
        <v>5.3</v>
      </c>
      <c r="O28">
        <v>5.7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4.5</v>
      </c>
      <c r="W28">
        <v>4.75</v>
      </c>
      <c r="X28">
        <v>4.45</v>
      </c>
      <c r="Y28">
        <v>4.7</v>
      </c>
      <c r="AA28" t="s">
        <v>43</v>
      </c>
      <c r="AB28">
        <v>5.45</v>
      </c>
      <c r="AC28">
        <v>5.85</v>
      </c>
      <c r="AD28">
        <v>5.8</v>
      </c>
      <c r="AE28">
        <v>6.25</v>
      </c>
      <c r="AF28">
        <v>5.9</v>
      </c>
      <c r="AG28">
        <v>6.4</v>
      </c>
      <c r="AH28">
        <v>6.1</v>
      </c>
      <c r="AI28">
        <v>6.55</v>
      </c>
      <c r="AK28" t="s">
        <v>43</v>
      </c>
      <c r="AL28">
        <v>4.6500000000000004</v>
      </c>
      <c r="AM28">
        <v>4.9000000000000004</v>
      </c>
      <c r="AN28">
        <v>5.3</v>
      </c>
      <c r="AO28">
        <v>5.6</v>
      </c>
      <c r="AP28">
        <v>5.35</v>
      </c>
      <c r="AQ28">
        <v>5.65</v>
      </c>
      <c r="AR28">
        <v>5.35</v>
      </c>
      <c r="AS28">
        <v>5.65</v>
      </c>
    </row>
    <row r="29" spans="7:45" hidden="1" x14ac:dyDescent="0.2">
      <c r="G29" t="s">
        <v>81</v>
      </c>
      <c r="H29">
        <v>4.5999999999999996</v>
      </c>
      <c r="I29">
        <v>4.95</v>
      </c>
      <c r="J29">
        <v>4.75</v>
      </c>
      <c r="K29">
        <v>5.15</v>
      </c>
      <c r="L29">
        <v>5</v>
      </c>
      <c r="M29">
        <v>5.35</v>
      </c>
      <c r="N29">
        <v>5.15</v>
      </c>
      <c r="O29">
        <v>5.55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4.4000000000000004</v>
      </c>
      <c r="W29">
        <v>4.6500000000000004</v>
      </c>
      <c r="X29">
        <v>4.3499999999999996</v>
      </c>
      <c r="Y29">
        <v>4.5999999999999996</v>
      </c>
      <c r="AA29" t="s">
        <v>81</v>
      </c>
      <c r="AB29">
        <v>5.3</v>
      </c>
      <c r="AC29">
        <v>5.7</v>
      </c>
      <c r="AD29">
        <v>5.6</v>
      </c>
      <c r="AE29">
        <v>6.05</v>
      </c>
      <c r="AF29">
        <v>5.75</v>
      </c>
      <c r="AG29">
        <v>6.2</v>
      </c>
      <c r="AH29">
        <v>5.9</v>
      </c>
      <c r="AI29">
        <v>6.4</v>
      </c>
      <c r="AK29" t="s">
        <v>81</v>
      </c>
      <c r="AL29">
        <v>4.55</v>
      </c>
      <c r="AM29">
        <v>4.9000000000000004</v>
      </c>
      <c r="AN29">
        <v>5.15</v>
      </c>
      <c r="AO29">
        <v>5.45</v>
      </c>
      <c r="AP29">
        <v>5.3</v>
      </c>
      <c r="AQ29">
        <v>5.55</v>
      </c>
      <c r="AR29">
        <v>5.25</v>
      </c>
      <c r="AS29">
        <v>5.5</v>
      </c>
    </row>
    <row r="30" spans="7:45" hidden="1" x14ac:dyDescent="0.2">
      <c r="G30" t="s">
        <v>44</v>
      </c>
      <c r="H30">
        <v>4.3499999999999996</v>
      </c>
      <c r="I30">
        <v>4.7</v>
      </c>
      <c r="J30">
        <v>4.5</v>
      </c>
      <c r="K30">
        <v>4.9000000000000004</v>
      </c>
      <c r="L30">
        <v>4.7</v>
      </c>
      <c r="M30">
        <v>5.0999999999999996</v>
      </c>
      <c r="N30">
        <v>4.8499999999999996</v>
      </c>
      <c r="O30">
        <v>5.3</v>
      </c>
      <c r="Q30" t="s">
        <v>44</v>
      </c>
      <c r="R30">
        <v>4.2</v>
      </c>
      <c r="S30">
        <v>4.4000000000000004</v>
      </c>
      <c r="T30">
        <v>4.2</v>
      </c>
      <c r="U30">
        <v>4.45</v>
      </c>
      <c r="V30">
        <v>4.2</v>
      </c>
      <c r="W30">
        <v>4.45</v>
      </c>
      <c r="X30">
        <v>4.2</v>
      </c>
      <c r="Y30">
        <v>4.45</v>
      </c>
      <c r="AA30" t="s">
        <v>44</v>
      </c>
      <c r="AB30">
        <v>5</v>
      </c>
      <c r="AC30">
        <v>5.4</v>
      </c>
      <c r="AD30">
        <v>5.35</v>
      </c>
      <c r="AE30">
        <v>5.75</v>
      </c>
      <c r="AF30">
        <v>5.5</v>
      </c>
      <c r="AG30">
        <v>5.9</v>
      </c>
      <c r="AH30">
        <v>5.55</v>
      </c>
      <c r="AI30">
        <v>6.1</v>
      </c>
      <c r="AK30" t="s">
        <v>44</v>
      </c>
      <c r="AL30">
        <v>4.4000000000000004</v>
      </c>
      <c r="AM30">
        <v>4.5999999999999996</v>
      </c>
      <c r="AN30">
        <v>4.95</v>
      </c>
      <c r="AO30">
        <v>5.25</v>
      </c>
      <c r="AP30">
        <v>5.05</v>
      </c>
      <c r="AQ30">
        <v>5.3</v>
      </c>
      <c r="AR30">
        <v>5.05</v>
      </c>
      <c r="AS30">
        <v>5.3</v>
      </c>
    </row>
    <row r="31" spans="7:45" hidden="1" x14ac:dyDescent="0.2">
      <c r="G31" t="s">
        <v>67</v>
      </c>
      <c r="H31">
        <v>4.0999999999999996</v>
      </c>
      <c r="I31">
        <v>4.5</v>
      </c>
      <c r="J31">
        <v>4.3</v>
      </c>
      <c r="K31">
        <v>4.7</v>
      </c>
      <c r="L31">
        <v>4.5</v>
      </c>
      <c r="M31">
        <v>4.9000000000000004</v>
      </c>
      <c r="N31">
        <v>4.6500000000000004</v>
      </c>
      <c r="O31">
        <v>5.05</v>
      </c>
      <c r="Q31" t="s">
        <v>67</v>
      </c>
      <c r="R31">
        <v>3.95</v>
      </c>
      <c r="S31">
        <v>3.95</v>
      </c>
      <c r="T31">
        <v>4.05</v>
      </c>
      <c r="U31">
        <v>4.2</v>
      </c>
      <c r="V31">
        <v>4</v>
      </c>
      <c r="W31">
        <v>4.3</v>
      </c>
      <c r="X31">
        <v>4.05</v>
      </c>
      <c r="Y31">
        <v>4.3</v>
      </c>
      <c r="AA31" t="s">
        <v>67</v>
      </c>
      <c r="AB31">
        <v>4.75</v>
      </c>
      <c r="AC31">
        <v>5.15</v>
      </c>
      <c r="AD31">
        <v>5.0999999999999996</v>
      </c>
      <c r="AE31">
        <v>5.55</v>
      </c>
      <c r="AF31">
        <v>5.2</v>
      </c>
      <c r="AG31">
        <v>5.7</v>
      </c>
      <c r="AH31">
        <v>5.35</v>
      </c>
      <c r="AI31">
        <v>5.85</v>
      </c>
      <c r="AK31" t="s">
        <v>67</v>
      </c>
      <c r="AL31">
        <v>4.2</v>
      </c>
      <c r="AM31">
        <v>4.45</v>
      </c>
      <c r="AN31">
        <v>4.75</v>
      </c>
      <c r="AO31">
        <v>5</v>
      </c>
      <c r="AP31">
        <v>4.8499999999999996</v>
      </c>
      <c r="AQ31">
        <v>5.0999999999999996</v>
      </c>
      <c r="AR31">
        <v>4.8499999999999996</v>
      </c>
      <c r="AS31">
        <v>5.0999999999999996</v>
      </c>
    </row>
    <row r="32" spans="7:45" hidden="1" x14ac:dyDescent="0.2">
      <c r="G32" t="s">
        <v>163</v>
      </c>
      <c r="H32">
        <v>5.15</v>
      </c>
      <c r="I32">
        <v>5.3</v>
      </c>
      <c r="J32">
        <v>5.3</v>
      </c>
      <c r="K32">
        <v>5.5</v>
      </c>
      <c r="L32">
        <v>5.5</v>
      </c>
      <c r="M32">
        <v>5.7</v>
      </c>
      <c r="N32">
        <v>5.65</v>
      </c>
      <c r="O32">
        <v>5.9</v>
      </c>
      <c r="Q32" t="s">
        <v>163</v>
      </c>
      <c r="R32">
        <v>4.6500000000000004</v>
      </c>
      <c r="S32">
        <v>4.9000000000000004</v>
      </c>
      <c r="T32">
        <v>4.6500000000000004</v>
      </c>
      <c r="U32">
        <v>4.9000000000000004</v>
      </c>
      <c r="V32">
        <v>4.5999999999999996</v>
      </c>
      <c r="W32">
        <v>4.8499999999999996</v>
      </c>
      <c r="X32">
        <v>4.55</v>
      </c>
      <c r="Y32">
        <v>4.8</v>
      </c>
      <c r="AA32" t="s">
        <v>163</v>
      </c>
      <c r="AB32">
        <v>5.8</v>
      </c>
      <c r="AC32">
        <v>6.1</v>
      </c>
      <c r="AD32">
        <v>6.2</v>
      </c>
      <c r="AE32">
        <v>6.45</v>
      </c>
      <c r="AF32">
        <v>6.35</v>
      </c>
      <c r="AG32">
        <v>6.6</v>
      </c>
      <c r="AH32">
        <v>6.5</v>
      </c>
      <c r="AI32">
        <v>6.8</v>
      </c>
      <c r="AK32" t="s">
        <v>163</v>
      </c>
      <c r="AL32">
        <v>4.75</v>
      </c>
      <c r="AM32">
        <v>5.05</v>
      </c>
      <c r="AN32">
        <v>5.45</v>
      </c>
      <c r="AO32">
        <v>5.75</v>
      </c>
      <c r="AP32">
        <v>5.5</v>
      </c>
      <c r="AQ32">
        <v>5.8</v>
      </c>
      <c r="AR32">
        <v>5.5</v>
      </c>
      <c r="AS32">
        <v>5.75</v>
      </c>
    </row>
    <row r="33" spans="5:45" hidden="1" x14ac:dyDescent="0.2">
      <c r="G33" t="s">
        <v>50</v>
      </c>
      <c r="H33">
        <v>4.9000000000000004</v>
      </c>
      <c r="I33">
        <v>5.0999999999999996</v>
      </c>
      <c r="J33">
        <v>5.0999999999999996</v>
      </c>
      <c r="K33">
        <v>5.3</v>
      </c>
      <c r="L33">
        <v>5.3</v>
      </c>
      <c r="M33">
        <v>5.5</v>
      </c>
      <c r="N33">
        <v>5.45</v>
      </c>
      <c r="O33">
        <v>5.7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4.5</v>
      </c>
      <c r="W33">
        <v>4.75</v>
      </c>
      <c r="X33">
        <v>4.45</v>
      </c>
      <c r="Y33">
        <v>4.7</v>
      </c>
      <c r="AA33" t="s">
        <v>50</v>
      </c>
      <c r="AB33">
        <v>5.6</v>
      </c>
      <c r="AC33">
        <v>5.9</v>
      </c>
      <c r="AD33">
        <v>6</v>
      </c>
      <c r="AE33">
        <v>6.3</v>
      </c>
      <c r="AF33">
        <v>6.1</v>
      </c>
      <c r="AG33">
        <v>6.45</v>
      </c>
      <c r="AH33">
        <v>6.3</v>
      </c>
      <c r="AI33">
        <v>6.55</v>
      </c>
      <c r="AK33" t="s">
        <v>50</v>
      </c>
      <c r="AL33">
        <v>4.6500000000000004</v>
      </c>
      <c r="AM33">
        <v>4.9000000000000004</v>
      </c>
      <c r="AN33">
        <v>5.3</v>
      </c>
      <c r="AO33">
        <v>5.6</v>
      </c>
      <c r="AP33">
        <v>5.35</v>
      </c>
      <c r="AQ33">
        <v>5.65</v>
      </c>
      <c r="AR33">
        <v>5.35</v>
      </c>
      <c r="AS33">
        <v>5.65</v>
      </c>
    </row>
    <row r="34" spans="5:45" hidden="1" x14ac:dyDescent="0.2">
      <c r="G34" t="s">
        <v>76</v>
      </c>
      <c r="H34">
        <v>4.75</v>
      </c>
      <c r="I34">
        <v>4.95</v>
      </c>
      <c r="J34">
        <v>4.95</v>
      </c>
      <c r="K34">
        <v>5.15</v>
      </c>
      <c r="L34">
        <v>5.0999999999999996</v>
      </c>
      <c r="M34">
        <v>5.35</v>
      </c>
      <c r="N34">
        <v>5.3</v>
      </c>
      <c r="O34">
        <v>5.6</v>
      </c>
      <c r="Q34" t="s">
        <v>76</v>
      </c>
      <c r="R34">
        <v>4.4000000000000004</v>
      </c>
      <c r="S34">
        <v>4.6500000000000004</v>
      </c>
      <c r="T34">
        <v>4.4000000000000004</v>
      </c>
      <c r="U34">
        <v>4.6500000000000004</v>
      </c>
      <c r="V34">
        <v>4.4000000000000004</v>
      </c>
      <c r="W34">
        <v>4.6500000000000004</v>
      </c>
      <c r="X34">
        <v>4.3499999999999996</v>
      </c>
      <c r="Y34">
        <v>4.5999999999999996</v>
      </c>
      <c r="AA34" t="s">
        <v>76</v>
      </c>
      <c r="AB34">
        <v>5.45</v>
      </c>
      <c r="AC34">
        <v>5.7</v>
      </c>
      <c r="AD34">
        <v>5.8</v>
      </c>
      <c r="AE34">
        <v>6.1</v>
      </c>
      <c r="AF34">
        <v>5.9</v>
      </c>
      <c r="AG34">
        <v>6.25</v>
      </c>
      <c r="AH34">
        <v>6.1</v>
      </c>
      <c r="AI34">
        <v>6.4</v>
      </c>
      <c r="AK34" t="s">
        <v>76</v>
      </c>
      <c r="AL34">
        <v>4.5999999999999996</v>
      </c>
      <c r="AM34">
        <v>4.8</v>
      </c>
      <c r="AN34">
        <v>5.2</v>
      </c>
      <c r="AO34">
        <v>5.15</v>
      </c>
      <c r="AP34">
        <v>5.25</v>
      </c>
      <c r="AQ34">
        <v>5.5</v>
      </c>
      <c r="AR34">
        <v>5.25</v>
      </c>
      <c r="AS34">
        <v>5.5</v>
      </c>
    </row>
    <row r="35" spans="5:45" hidden="1" x14ac:dyDescent="0.2">
      <c r="G35" t="s">
        <v>77</v>
      </c>
      <c r="H35">
        <v>4.5999999999999996</v>
      </c>
      <c r="I35">
        <v>4.8</v>
      </c>
      <c r="J35">
        <v>4.8</v>
      </c>
      <c r="K35">
        <v>5.05</v>
      </c>
      <c r="L35">
        <v>5</v>
      </c>
      <c r="M35">
        <v>5.25</v>
      </c>
      <c r="N35">
        <v>5.15</v>
      </c>
      <c r="O35">
        <v>5.45</v>
      </c>
      <c r="Q35" t="s">
        <v>77</v>
      </c>
      <c r="R35">
        <v>4.3</v>
      </c>
      <c r="S35">
        <v>4.5</v>
      </c>
      <c r="T35" t="s">
        <v>85</v>
      </c>
      <c r="U35">
        <v>4.55</v>
      </c>
      <c r="V35">
        <v>4.3</v>
      </c>
      <c r="W35">
        <v>4.55</v>
      </c>
      <c r="X35">
        <v>4.3</v>
      </c>
      <c r="Y35">
        <v>4.5</v>
      </c>
      <c r="AA35" t="s">
        <v>77</v>
      </c>
      <c r="AB35">
        <v>5.3</v>
      </c>
      <c r="AC35">
        <v>5.55</v>
      </c>
      <c r="AD35">
        <v>5.6</v>
      </c>
      <c r="AE35">
        <v>5.9</v>
      </c>
      <c r="AF35">
        <v>5.8</v>
      </c>
      <c r="AG35">
        <v>6.1</v>
      </c>
      <c r="AH35">
        <v>5.95</v>
      </c>
      <c r="AI35">
        <v>6.25</v>
      </c>
      <c r="AK35" t="s">
        <v>77</v>
      </c>
      <c r="AL35">
        <v>4.5</v>
      </c>
      <c r="AM35">
        <v>4.7</v>
      </c>
      <c r="AN35">
        <v>5.05</v>
      </c>
      <c r="AO35">
        <v>5.35</v>
      </c>
      <c r="AP35">
        <v>5.15</v>
      </c>
      <c r="AQ35">
        <v>5.4</v>
      </c>
      <c r="AR35">
        <v>5.15</v>
      </c>
      <c r="AS35">
        <v>5.4</v>
      </c>
    </row>
    <row r="36" spans="5:45" hidden="1" x14ac:dyDescent="0.2">
      <c r="G36" t="s">
        <v>46</v>
      </c>
      <c r="H36">
        <v>4.5</v>
      </c>
      <c r="I36">
        <v>4.7</v>
      </c>
      <c r="J36">
        <v>4.6500000000000004</v>
      </c>
      <c r="K36">
        <v>4.9000000000000004</v>
      </c>
      <c r="L36">
        <v>4.8499999999999996</v>
      </c>
      <c r="M36">
        <v>5.0999999999999996</v>
      </c>
      <c r="N36">
        <v>5</v>
      </c>
      <c r="O36">
        <v>5.3</v>
      </c>
      <c r="Q36" t="s">
        <v>46</v>
      </c>
      <c r="R36">
        <v>4.2</v>
      </c>
      <c r="S36">
        <v>4.3</v>
      </c>
      <c r="T36">
        <v>4.2</v>
      </c>
      <c r="U36">
        <v>4.45</v>
      </c>
      <c r="V36">
        <v>4.2</v>
      </c>
      <c r="W36">
        <v>4.45</v>
      </c>
      <c r="X36">
        <v>4.2</v>
      </c>
      <c r="Y36">
        <v>4.45</v>
      </c>
      <c r="AA36" t="s">
        <v>46</v>
      </c>
      <c r="AB36">
        <v>5.15</v>
      </c>
      <c r="AC36">
        <v>5.4</v>
      </c>
      <c r="AD36">
        <v>5.5</v>
      </c>
      <c r="AE36">
        <v>5.75</v>
      </c>
      <c r="AF36">
        <v>5.6</v>
      </c>
      <c r="AG36">
        <v>5.9</v>
      </c>
      <c r="AH36">
        <v>5.75</v>
      </c>
      <c r="AI36">
        <v>6.1</v>
      </c>
      <c r="AK36" t="s">
        <v>46</v>
      </c>
      <c r="AL36">
        <v>4.4000000000000004</v>
      </c>
      <c r="AM36">
        <v>4.5999999999999996</v>
      </c>
      <c r="AN36">
        <v>4.95</v>
      </c>
      <c r="AO36">
        <v>5.2</v>
      </c>
      <c r="AP36">
        <v>5.05</v>
      </c>
      <c r="AQ36">
        <v>5.3</v>
      </c>
      <c r="AR36">
        <v>5.05</v>
      </c>
      <c r="AS36">
        <v>5.3</v>
      </c>
    </row>
    <row r="37" spans="5:45" hidden="1" x14ac:dyDescent="0.2">
      <c r="G37" t="s">
        <v>82</v>
      </c>
      <c r="H37">
        <v>4.3499999999999996</v>
      </c>
      <c r="I37">
        <v>4.5999999999999996</v>
      </c>
      <c r="J37">
        <v>4.5</v>
      </c>
      <c r="K37">
        <v>4.8</v>
      </c>
      <c r="L37">
        <v>4.7</v>
      </c>
      <c r="M37">
        <v>5</v>
      </c>
      <c r="N37">
        <v>4.9000000000000004</v>
      </c>
      <c r="O37">
        <v>5.2</v>
      </c>
      <c r="Q37" t="s">
        <v>82</v>
      </c>
      <c r="R37">
        <v>4.05</v>
      </c>
      <c r="S37">
        <v>4.05</v>
      </c>
      <c r="T37">
        <v>4.0999999999999996</v>
      </c>
      <c r="U37">
        <v>4.3499999999999996</v>
      </c>
      <c r="V37">
        <v>4.1500000000000004</v>
      </c>
      <c r="W37">
        <v>4.3499999999999996</v>
      </c>
      <c r="X37">
        <v>4.1500000000000004</v>
      </c>
      <c r="Y37">
        <v>4.3499999999999996</v>
      </c>
      <c r="AA37" t="s">
        <v>82</v>
      </c>
      <c r="AB37">
        <v>5</v>
      </c>
      <c r="AC37">
        <v>5.3</v>
      </c>
      <c r="AD37">
        <f t="shared" ref="AD37" si="0">+(AD36+AD38)/2</f>
        <v>5.3</v>
      </c>
      <c r="AE37">
        <v>5.65</v>
      </c>
      <c r="AF37">
        <v>5.45</v>
      </c>
      <c r="AG37">
        <v>5.45</v>
      </c>
      <c r="AH37">
        <v>5.6</v>
      </c>
      <c r="AI37">
        <v>6</v>
      </c>
      <c r="AK37" t="s">
        <v>82</v>
      </c>
      <c r="AL37">
        <v>4.3</v>
      </c>
      <c r="AM37">
        <v>4.55</v>
      </c>
      <c r="AN37">
        <v>4.8499999999999996</v>
      </c>
      <c r="AO37">
        <v>5.15</v>
      </c>
      <c r="AP37">
        <v>4.95</v>
      </c>
      <c r="AQ37">
        <v>5.2</v>
      </c>
      <c r="AR37">
        <v>4.95</v>
      </c>
      <c r="AS37">
        <v>5.2</v>
      </c>
    </row>
    <row r="38" spans="5:45" hidden="1" x14ac:dyDescent="0.2">
      <c r="G38" t="s">
        <v>45</v>
      </c>
      <c r="H38">
        <v>4.0999999999999996</v>
      </c>
      <c r="I38">
        <v>4.4000000000000004</v>
      </c>
      <c r="J38">
        <v>4.3</v>
      </c>
      <c r="K38">
        <v>4.5999999999999996</v>
      </c>
      <c r="L38">
        <v>4.5</v>
      </c>
      <c r="M38">
        <v>4.8</v>
      </c>
      <c r="N38">
        <v>4.6500000000000004</v>
      </c>
      <c r="O38">
        <v>4.95</v>
      </c>
      <c r="Q38" t="s">
        <v>45</v>
      </c>
      <c r="R38">
        <v>3.65</v>
      </c>
      <c r="S38">
        <v>3.65</v>
      </c>
      <c r="T38">
        <v>3.95</v>
      </c>
      <c r="U38">
        <v>3.95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4.75</v>
      </c>
      <c r="AC38">
        <v>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4.1500000000000004</v>
      </c>
      <c r="AM38">
        <v>4.25</v>
      </c>
      <c r="AN38">
        <v>4.6500000000000004</v>
      </c>
      <c r="AO38">
        <v>4.95</v>
      </c>
      <c r="AP38">
        <v>4.8</v>
      </c>
      <c r="AQ38">
        <v>5.05</v>
      </c>
      <c r="AR38">
        <v>4.8</v>
      </c>
      <c r="AS38">
        <v>5.05</v>
      </c>
    </row>
    <row r="39" spans="5:45" hidden="1" x14ac:dyDescent="0.2">
      <c r="G39" t="s">
        <v>68</v>
      </c>
      <c r="H39">
        <v>3.95</v>
      </c>
      <c r="I39">
        <v>4.25</v>
      </c>
      <c r="J39">
        <v>4.1500000000000004</v>
      </c>
      <c r="K39">
        <v>4.4000000000000004</v>
      </c>
      <c r="L39">
        <v>4.3</v>
      </c>
      <c r="M39">
        <v>4.55</v>
      </c>
      <c r="N39">
        <v>4.45</v>
      </c>
      <c r="O39">
        <v>4.75</v>
      </c>
      <c r="Q39" t="s">
        <v>68</v>
      </c>
      <c r="R39">
        <v>3.35</v>
      </c>
      <c r="S39">
        <v>3.35</v>
      </c>
      <c r="T39">
        <v>3.6</v>
      </c>
      <c r="U39">
        <v>3.6</v>
      </c>
      <c r="V39">
        <v>3.95</v>
      </c>
      <c r="W39">
        <v>3.95</v>
      </c>
      <c r="X39">
        <v>3.9</v>
      </c>
      <c r="Y39">
        <v>3.9</v>
      </c>
      <c r="AA39" t="s">
        <v>68</v>
      </c>
      <c r="AB39">
        <v>4.55</v>
      </c>
      <c r="AC39">
        <v>4.8</v>
      </c>
      <c r="AD39">
        <v>4.8499999999999996</v>
      </c>
      <c r="AE39">
        <v>5.25</v>
      </c>
      <c r="AF39">
        <v>5</v>
      </c>
      <c r="AG39">
        <v>5.4</v>
      </c>
      <c r="AH39">
        <v>5.2</v>
      </c>
      <c r="AI39">
        <v>5.55</v>
      </c>
      <c r="AK39" t="s">
        <v>68</v>
      </c>
      <c r="AL39">
        <v>3.9</v>
      </c>
      <c r="AM39">
        <v>3.9</v>
      </c>
      <c r="AN39">
        <v>4.5</v>
      </c>
      <c r="AO39">
        <v>4.75</v>
      </c>
      <c r="AP39">
        <v>4.6500000000000004</v>
      </c>
      <c r="AQ39">
        <v>4.9000000000000004</v>
      </c>
      <c r="AR39">
        <v>4.6500000000000004</v>
      </c>
      <c r="AS39">
        <v>4.9000000000000004</v>
      </c>
    </row>
    <row r="40" spans="5:45" hidden="1" x14ac:dyDescent="0.2">
      <c r="G40" t="s">
        <v>71</v>
      </c>
      <c r="H40" s="238">
        <v>205</v>
      </c>
      <c r="I40" s="238"/>
      <c r="J40" s="238">
        <v>229</v>
      </c>
      <c r="K40" s="238"/>
      <c r="L40" s="238">
        <v>251</v>
      </c>
      <c r="M40" s="238"/>
      <c r="N40" s="238">
        <v>274</v>
      </c>
      <c r="O40" s="238"/>
      <c r="R40" s="238">
        <v>194</v>
      </c>
      <c r="S40" s="238"/>
      <c r="T40" s="238">
        <v>217</v>
      </c>
      <c r="U40" s="238"/>
      <c r="V40" s="238">
        <v>240</v>
      </c>
      <c r="W40" s="238"/>
      <c r="X40" s="238">
        <v>263</v>
      </c>
      <c r="Y40" s="238"/>
      <c r="AB40" s="238">
        <v>238</v>
      </c>
      <c r="AC40" s="238"/>
      <c r="AD40" s="238">
        <v>259</v>
      </c>
      <c r="AE40" s="238"/>
      <c r="AF40" s="238">
        <v>282</v>
      </c>
      <c r="AG40" s="238"/>
      <c r="AH40" s="238">
        <v>305</v>
      </c>
      <c r="AI40" s="238"/>
      <c r="AL40" s="238">
        <v>225</v>
      </c>
      <c r="AM40" s="238"/>
      <c r="AN40" s="238">
        <v>259</v>
      </c>
      <c r="AO40" s="238"/>
      <c r="AP40" s="238">
        <v>282</v>
      </c>
      <c r="AQ40" s="238"/>
      <c r="AR40" s="238">
        <v>305</v>
      </c>
      <c r="AS40" s="238"/>
    </row>
    <row r="41" spans="5:45" hidden="1" x14ac:dyDescent="0.2">
      <c r="G41" t="s">
        <v>72</v>
      </c>
      <c r="H41" s="238">
        <v>71.5</v>
      </c>
      <c r="I41" s="238"/>
      <c r="J41" s="238">
        <v>81.5</v>
      </c>
      <c r="K41" s="238"/>
      <c r="L41" s="238">
        <v>91.5</v>
      </c>
      <c r="M41" s="238"/>
      <c r="N41" s="238">
        <v>101.5</v>
      </c>
      <c r="O41" s="238"/>
      <c r="R41" s="238">
        <v>68.5</v>
      </c>
      <c r="S41" s="238"/>
      <c r="T41" s="238">
        <v>78.5</v>
      </c>
      <c r="U41" s="238"/>
      <c r="V41" s="238">
        <v>88.5</v>
      </c>
      <c r="W41" s="238"/>
      <c r="X41" s="238">
        <v>98.5</v>
      </c>
      <c r="Y41" s="238"/>
      <c r="AB41" s="238">
        <v>82.5</v>
      </c>
      <c r="AC41" s="238"/>
      <c r="AD41" s="238">
        <v>88</v>
      </c>
      <c r="AE41" s="238"/>
      <c r="AF41" s="238">
        <v>97</v>
      </c>
      <c r="AG41" s="238"/>
      <c r="AH41" s="238">
        <v>107</v>
      </c>
      <c r="AI41" s="238"/>
      <c r="AL41" s="238">
        <v>82</v>
      </c>
      <c r="AM41" s="238"/>
      <c r="AN41" s="238">
        <v>88</v>
      </c>
      <c r="AO41" s="238"/>
      <c r="AP41" s="238">
        <v>97</v>
      </c>
      <c r="AQ41" s="238"/>
      <c r="AR41" s="238">
        <v>107</v>
      </c>
      <c r="AS41" s="238"/>
    </row>
    <row r="42" spans="5:45" hidden="1" x14ac:dyDescent="0.2">
      <c r="E42" t="s">
        <v>49</v>
      </c>
      <c r="G42" t="str">
        <f>+DIM!$AK$20&amp;"+"&amp;DIM!$S$14</f>
        <v>151+250</v>
      </c>
      <c r="H42" s="100">
        <f>+VLOOKUP($G$42,$G$16:$O$39,2,FALSE)</f>
        <v>5.0999999999999996</v>
      </c>
      <c r="I42" s="100">
        <f>+VLOOKUP($G$42,$G$16:$O$39,3,FALSE)</f>
        <v>5.45</v>
      </c>
      <c r="J42" s="100">
        <f>+VLOOKUP($G$42,$G$16:$O$39,4,FALSE)</f>
        <v>5.3</v>
      </c>
      <c r="K42" s="100">
        <f>+VLOOKUP($G$42,$G$16:$O$39,5,FALSE)</f>
        <v>5.65</v>
      </c>
      <c r="L42" s="100">
        <f>+VLOOKUP($G$42,$G$16:$O$39,6,FALSE)</f>
        <v>5.5</v>
      </c>
      <c r="M42" s="100">
        <f>+VLOOKUP($G$42,$G$16:$O$39,7,FALSE)</f>
        <v>5.85</v>
      </c>
      <c r="N42" s="100">
        <f>+VLOOKUP($G$42,$G$16:$O$39,8,FALSE)</f>
        <v>5.65</v>
      </c>
      <c r="O42" s="100">
        <f>+VLOOKUP($G$42,$G$16:$O$39,9,FALSE)</f>
        <v>6.05</v>
      </c>
      <c r="Q42" t="str">
        <f>+DIM!$AK$20&amp;"+"&amp;DIM!$S$14</f>
        <v>151+250</v>
      </c>
      <c r="R42" s="100">
        <f>+VLOOKUP($Q$42,$Q$14:$Y$39,2,FALSE)</f>
        <v>4.8</v>
      </c>
      <c r="S42" s="100">
        <f>+VLOOKUP($Q$42,$Q$14:$Y$39,3,FALSE)</f>
        <v>5.05</v>
      </c>
      <c r="T42" s="100">
        <f>+VLOOKUP($Q$42,$Q$14:$Y$39,4,FALSE)</f>
        <v>4.75</v>
      </c>
      <c r="U42" s="100">
        <f>+VLOOKUP($Q$42,$Q$14:$Y$39,5,FALSE)</f>
        <v>5</v>
      </c>
      <c r="V42" s="100">
        <f>+VLOOKUP($Q$42,$Q$14:$Y$39,6,FALSE)</f>
        <v>4.7</v>
      </c>
      <c r="W42" s="100">
        <f>+VLOOKUP($Q$42,$Q$14:$Y$39,7,FALSE)</f>
        <v>4.95</v>
      </c>
      <c r="X42" s="100">
        <f>+VLOOKUP($Q$42,$Q$14:$Y$39,8,FALSE)</f>
        <v>4.6500000000000004</v>
      </c>
      <c r="Y42" s="100">
        <f>+VLOOKUP($Q$42,$Q$14:$Y$39,9,FALSE)</f>
        <v>4.8</v>
      </c>
      <c r="AA42" t="str">
        <f>+DIM!$AK$20&amp;"+"&amp;DIM!$S$14</f>
        <v>151+250</v>
      </c>
      <c r="AB42" s="100">
        <f>+VLOOKUP($AA$42,$AA$16:$AI$41,2,FALSE)</f>
        <v>5.85</v>
      </c>
      <c r="AC42" s="100">
        <f>+VLOOKUP($AA$42,$AA$16:$AI$41,3,FALSE)</f>
        <v>6.25</v>
      </c>
      <c r="AD42" s="100">
        <f>+VLOOKUP($AA$42,$AA$16:$AI$41,4,FALSE)</f>
        <v>6.2</v>
      </c>
      <c r="AE42" s="100">
        <f>+VLOOKUP($AA$42,$AA$16:$AI$41,5,FALSE)</f>
        <v>6.65</v>
      </c>
      <c r="AF42" s="100">
        <f>+VLOOKUP($AA$42,$AA$16:$AI$41,6,FALSE)</f>
        <v>6.35</v>
      </c>
      <c r="AG42" s="100">
        <f>+VLOOKUP($AA$42,$AA$16:$AI$41,7,FALSE)</f>
        <v>6.8</v>
      </c>
      <c r="AH42" s="100">
        <f>+VLOOKUP($AA$42,$AA$16:$AI$41,8,FALSE)</f>
        <v>6.55</v>
      </c>
      <c r="AI42" s="100">
        <f>+VLOOKUP($AA$42,$AA$16:$AI$41,9,FALSE)</f>
        <v>7</v>
      </c>
      <c r="AK42" t="str">
        <f>+DIM!$AK$20&amp;"+"&amp;DIM!$S$14</f>
        <v>151+250</v>
      </c>
      <c r="AL42" s="100">
        <f>+VLOOKUP($AK$42,$AK$16:$AS$41,2,FALSE)</f>
        <v>5.05</v>
      </c>
      <c r="AM42" s="100">
        <f>+VLOOKUP($AK$42,$AK$16:$AS$41,3,FALSE)</f>
        <v>5.05</v>
      </c>
      <c r="AN42" s="100">
        <f>+VLOOKUP($AK$42,$AK$16:$AS$41,4,FALSE)</f>
        <v>5.6</v>
      </c>
      <c r="AO42" s="100">
        <f>+VLOOKUP($AK$42,$AK$16:$AS$41,5,FALSE)</f>
        <v>6.05</v>
      </c>
      <c r="AP42" s="100">
        <f>+VLOOKUP($AK$42,$AK$16:$AS$41,6,FALSE)</f>
        <v>5.65</v>
      </c>
      <c r="AQ42" s="100">
        <f>+VLOOKUP($AK$42,$AK$16:$AS$41,7,FALSE)</f>
        <v>5.95</v>
      </c>
      <c r="AR42" s="100">
        <f>+VLOOKUP($AK$42,$AK$16:$AS$41,8,FALSE)</f>
        <v>5.8</v>
      </c>
      <c r="AS42" s="100">
        <f>+VLOOKUP($AK$42,$AK$16:$AS$41,9,FALSE)</f>
        <v>5.8</v>
      </c>
    </row>
    <row r="43" spans="5:45" hidden="1" x14ac:dyDescent="0.2">
      <c r="F43" t="s">
        <v>47</v>
      </c>
      <c r="G43" t="str">
        <f>+DIM!AD15</f>
        <v>1C</v>
      </c>
      <c r="H43" s="237">
        <f>+IF(DIM!$AD$15=H15,H42,I42)</f>
        <v>5.45</v>
      </c>
      <c r="I43" s="237"/>
      <c r="J43" s="237">
        <f>+IF(DIM!$AD$15=J15,J42,K42)</f>
        <v>5.65</v>
      </c>
      <c r="K43" s="237"/>
      <c r="L43" s="237">
        <f>+IF(DIM!$AD$15=L15,L42,M42)</f>
        <v>5.85</v>
      </c>
      <c r="M43" s="237"/>
      <c r="N43" s="237">
        <f>+IF(DIM!$AD$15=N15,N42,O42)</f>
        <v>6.05</v>
      </c>
      <c r="O43" s="237"/>
      <c r="Q43" t="str">
        <f>+DIM!AD15</f>
        <v>1C</v>
      </c>
      <c r="R43" s="235">
        <f>+IF(DIM!$AD$15=plastivs!$H$15,plastivs!R42,plastivs!S42)</f>
        <v>5.05</v>
      </c>
      <c r="S43" s="236"/>
      <c r="T43" s="235">
        <f>+IF(DIM!$AD$15=plastivs!$H$15,plastivs!T42,plastivs!U42)</f>
        <v>5</v>
      </c>
      <c r="U43" s="236"/>
      <c r="V43" s="235">
        <f>+IF(DIM!$AD$15=plastivs!$H$15,plastivs!V42,plastivs!W42)</f>
        <v>4.95</v>
      </c>
      <c r="W43" s="236"/>
      <c r="X43" s="235">
        <f>+IF(DIM!$AD$15=plastivs!$H$15,plastivs!X42,plastivs!Y42)</f>
        <v>4.8</v>
      </c>
      <c r="Y43" s="236"/>
      <c r="AA43" t="str">
        <f>+DIM!AD15</f>
        <v>1C</v>
      </c>
      <c r="AB43" s="235">
        <f>+IF(DIM!$AD$15=plastivs!$H$15,plastivs!AB42,plastivs!AC42)</f>
        <v>6.25</v>
      </c>
      <c r="AC43" s="236"/>
      <c r="AD43" s="235">
        <f>+IF(DIM!$AD$15=plastivs!$H$15,plastivs!AD42,plastivs!AE42)</f>
        <v>6.65</v>
      </c>
      <c r="AE43" s="236"/>
      <c r="AF43" s="235">
        <f>+IF(DIM!$AD$15=plastivs!$H$15,plastivs!AF42,plastivs!AG42)</f>
        <v>6.8</v>
      </c>
      <c r="AG43" s="236"/>
      <c r="AH43" s="235">
        <f>+IF(DIM!$AD$15=plastivs!$H$15,plastivs!AH42,plastivs!AI42)</f>
        <v>7</v>
      </c>
      <c r="AI43" s="236"/>
      <c r="AK43" t="str">
        <f>+DIM!AD15</f>
        <v>1C</v>
      </c>
      <c r="AL43" s="235">
        <f>+IF(DIM!$AD$15=plastivs!$H$15,plastivs!AL42,plastivs!AM42)</f>
        <v>5.05</v>
      </c>
      <c r="AM43" s="236"/>
      <c r="AN43" s="235">
        <f>+IF(DIM!$AD$15=plastivs!$H$15,plastivs!AN42,plastivs!AO42)</f>
        <v>6.05</v>
      </c>
      <c r="AO43" s="236"/>
      <c r="AP43" s="235">
        <f>+IF(DIM!$AD$15=plastivs!$H$15,plastivs!AP42,plastivs!AQ42)</f>
        <v>5.95</v>
      </c>
      <c r="AQ43" s="236"/>
      <c r="AR43" s="235">
        <f>+IF(DIM!$AD$15=plastivs!$H$15,plastivs!AR42,plastivs!AS42)</f>
        <v>5.8</v>
      </c>
      <c r="AS43" s="236"/>
    </row>
    <row r="44" spans="5:45" hidden="1" x14ac:dyDescent="0.2">
      <c r="F44" t="s">
        <v>48</v>
      </c>
      <c r="G44" s="101">
        <f>+DIM!S32</f>
        <v>5</v>
      </c>
      <c r="K44" s="102">
        <f>+HLOOKUP(G44,H14:O43,30,FALSE)</f>
        <v>5.45</v>
      </c>
      <c r="Q44" s="101">
        <f>+DIM!S32</f>
        <v>5</v>
      </c>
      <c r="U44" s="102">
        <f>+HLOOKUP(Q44,R14:Y43,30,FALSE)</f>
        <v>5.05</v>
      </c>
      <c r="AA44" s="101">
        <f>+DIM!S32</f>
        <v>5</v>
      </c>
      <c r="AE44" s="102">
        <f>+HLOOKUP(AA44,AB14:AI43,30,FALSE)</f>
        <v>6.25</v>
      </c>
      <c r="AK44" s="101">
        <f>+AA44</f>
        <v>5</v>
      </c>
      <c r="AO44" s="102">
        <f>+HLOOKUP(AK44,AL14:AS43,30,FALSE)</f>
        <v>5.05</v>
      </c>
    </row>
    <row r="45" spans="5:45" hidden="1" x14ac:dyDescent="0.2">
      <c r="E45">
        <f>+DIM!Q32</f>
        <v>12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</row>
    <row r="46" spans="5:45" hidden="1" x14ac:dyDescent="0.2">
      <c r="F46" t="s">
        <v>66</v>
      </c>
      <c r="G46" t="str">
        <f>+DIM!S19</f>
        <v>sans etai</v>
      </c>
      <c r="K46" s="98">
        <f>+HLOOKUP(G44,H14:O40,27,FALSE)</f>
        <v>205</v>
      </c>
      <c r="U46" s="98">
        <f>+HLOOKUP(Q44,R14:Y40,27,FALSE)</f>
        <v>194</v>
      </c>
      <c r="AE46" s="98">
        <f>+HLOOKUP(AA44,AB14:AI40,27,FALSE)</f>
        <v>238</v>
      </c>
      <c r="AO46" s="98">
        <f>+HLOOKUP(AK44,AL14:AS40,27,FALSE)</f>
        <v>225</v>
      </c>
    </row>
    <row r="47" spans="5:45" hidden="1" x14ac:dyDescent="0.2">
      <c r="F47">
        <v>12</v>
      </c>
      <c r="G47">
        <f>+IF($G$46="avec etai",K44,U44)</f>
        <v>5.05</v>
      </c>
      <c r="H47">
        <f>+IF($G$46="avec etai",K46,U46)</f>
        <v>194</v>
      </c>
      <c r="I47">
        <f>+IF($G$46="avec etai",K47,U47)</f>
        <v>68.5</v>
      </c>
      <c r="J47">
        <f>+IF($G$46="avec etai",K48,U48)</f>
        <v>23.27</v>
      </c>
      <c r="K47" s="98">
        <f>+HLOOKUP(G44,H14:O41,28,FALSE)</f>
        <v>71.5</v>
      </c>
      <c r="U47" s="98">
        <f>+HLOOKUP(Q44,R14:Y41,28,FALSE)</f>
        <v>68.5</v>
      </c>
      <c r="AE47" s="98">
        <f>+HLOOKUP(AA44,AB14:AI41,28,FALSE)</f>
        <v>82.5</v>
      </c>
      <c r="AO47" s="98">
        <f>+HLOOKUP(AK44,AL14:AS41,28,FALSE)</f>
        <v>82</v>
      </c>
    </row>
    <row r="48" spans="5:45" hidden="1" x14ac:dyDescent="0.2">
      <c r="F48">
        <v>15</v>
      </c>
      <c r="G48">
        <f>+IF($G$46="avec etai",AE44,AO44)</f>
        <v>5.05</v>
      </c>
      <c r="H48">
        <f>+IF($G$46="avec etai",AE46,AO46)</f>
        <v>225</v>
      </c>
      <c r="I48">
        <f>+IF($G$46="avec etai",AE47,AO47)</f>
        <v>82</v>
      </c>
      <c r="J48">
        <f>+IF($G$46="avec etai",AE48,AO48)</f>
        <v>25.74</v>
      </c>
      <c r="K48" s="98">
        <f>+HLOOKUP(K45,H113:O115,3,FALSE)</f>
        <v>23.1</v>
      </c>
      <c r="U48" s="98">
        <f>+HLOOKUP(U45,R113:Y115,3,FALSE)</f>
        <v>23.27</v>
      </c>
      <c r="AE48" s="98">
        <f>+HLOOKUP(AE45,AB113:AI115,3,FALSE)</f>
        <v>25.74</v>
      </c>
      <c r="AO48" s="98">
        <f>+HLOOKUP(AO45,AL113:AS115,3,FALSE)</f>
        <v>25.74</v>
      </c>
    </row>
    <row r="49" spans="4:65" ht="19.5" hidden="1" x14ac:dyDescent="0.35">
      <c r="F49">
        <v>20</v>
      </c>
      <c r="G49" t="s">
        <v>100</v>
      </c>
      <c r="K49" s="97">
        <v>12</v>
      </c>
      <c r="U49" s="97">
        <v>12</v>
      </c>
      <c r="AE49" s="97">
        <v>15</v>
      </c>
      <c r="AO49" s="97">
        <v>15</v>
      </c>
    </row>
    <row r="50" spans="4:65" hidden="1" x14ac:dyDescent="0.2">
      <c r="E50" t="s">
        <v>70</v>
      </c>
      <c r="F50" t="s">
        <v>74</v>
      </c>
      <c r="G50">
        <f>IF($E$45&gt;15,"--",+VLOOKUP(DIM!Q32,plastivs!F47:I49,2,FALSE))</f>
        <v>5.05</v>
      </c>
      <c r="K50" s="98" t="s">
        <v>78</v>
      </c>
      <c r="U50" s="98" t="s">
        <v>83</v>
      </c>
      <c r="AE50" s="98" t="s">
        <v>84</v>
      </c>
      <c r="AO50" s="98" t="s">
        <v>79</v>
      </c>
    </row>
    <row r="51" spans="4:65" hidden="1" x14ac:dyDescent="0.2">
      <c r="D51" s="98" t="s">
        <v>301</v>
      </c>
      <c r="F51" t="s">
        <v>75</v>
      </c>
      <c r="G51">
        <f>IF($E$45&gt;15,0,+VLOOKUP(DIM!Q32,plastivs!F47:I49,3,FALSE))</f>
        <v>194</v>
      </c>
    </row>
    <row r="52" spans="4:65" hidden="1" x14ac:dyDescent="0.2">
      <c r="D52" s="98" t="s">
        <v>88</v>
      </c>
      <c r="F52" t="s">
        <v>72</v>
      </c>
      <c r="G52">
        <f>IF($E$45&gt;15,0,+VLOOKUP(DIM!Q32,plastivs!F47:I49,4,FALSE))</f>
        <v>68.5</v>
      </c>
    </row>
    <row r="53" spans="4:65" hidden="1" x14ac:dyDescent="0.2">
      <c r="F53" t="s">
        <v>274</v>
      </c>
      <c r="G53">
        <f>IF($E$45&gt;15,0,+VLOOKUP(DIM!Q32,F47:J49,5,FALSE))</f>
        <v>23.27</v>
      </c>
    </row>
    <row r="54" spans="4:65" hidden="1" x14ac:dyDescent="0.2"/>
    <row r="55" spans="4:65" hidden="1" x14ac:dyDescent="0.2"/>
    <row r="56" spans="4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</row>
    <row r="57" spans="4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</row>
    <row r="58" spans="4:65" hidden="1" x14ac:dyDescent="0.2">
      <c r="H58">
        <v>137</v>
      </c>
      <c r="J58">
        <v>1237</v>
      </c>
      <c r="R58">
        <v>937</v>
      </c>
      <c r="T58">
        <v>179</v>
      </c>
      <c r="V58">
        <v>189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</row>
    <row r="59" spans="4:65" hidden="1" x14ac:dyDescent="0.2">
      <c r="H59" s="237" t="s">
        <v>302</v>
      </c>
      <c r="I59" s="237"/>
      <c r="J59" s="237" t="s">
        <v>303</v>
      </c>
      <c r="K59" s="237"/>
      <c r="L59" s="237" t="s">
        <v>304</v>
      </c>
      <c r="M59" s="237"/>
      <c r="N59" s="237" t="s">
        <v>305</v>
      </c>
      <c r="O59" s="237"/>
      <c r="R59" s="237" t="s">
        <v>302</v>
      </c>
      <c r="S59" s="237"/>
      <c r="T59" s="237" t="s">
        <v>303</v>
      </c>
      <c r="U59" s="237"/>
      <c r="V59" s="237" t="s">
        <v>304</v>
      </c>
      <c r="W59" s="237"/>
      <c r="X59" s="237" t="s">
        <v>305</v>
      </c>
      <c r="Y59" s="237"/>
      <c r="AB59" s="237" t="s">
        <v>306</v>
      </c>
      <c r="AC59" s="237"/>
      <c r="AD59" s="237" t="s">
        <v>307</v>
      </c>
      <c r="AE59" s="237"/>
      <c r="AF59" s="237" t="s">
        <v>308</v>
      </c>
      <c r="AG59" s="237"/>
      <c r="AH59" s="237" t="s">
        <v>309</v>
      </c>
      <c r="AI59" s="237"/>
      <c r="AL59" s="237" t="s">
        <v>306</v>
      </c>
      <c r="AM59" s="237"/>
      <c r="AN59" s="237" t="s">
        <v>307</v>
      </c>
      <c r="AO59" s="237"/>
      <c r="AP59" s="237" t="s">
        <v>308</v>
      </c>
      <c r="AQ59" s="237"/>
      <c r="AR59" s="237" t="s">
        <v>309</v>
      </c>
      <c r="AS59" s="237"/>
      <c r="AV59" s="237" t="s">
        <v>119</v>
      </c>
      <c r="AW59" s="237"/>
      <c r="AX59" s="237" t="s">
        <v>120</v>
      </c>
      <c r="AY59" s="237"/>
      <c r="AZ59" s="237" t="s">
        <v>121</v>
      </c>
      <c r="BA59" s="237"/>
      <c r="BB59" s="237" t="s">
        <v>122</v>
      </c>
      <c r="BC59" s="237"/>
      <c r="BF59" s="237" t="s">
        <v>119</v>
      </c>
      <c r="BG59" s="237"/>
      <c r="BH59" s="237" t="s">
        <v>120</v>
      </c>
      <c r="BI59" s="237"/>
      <c r="BJ59" s="237" t="s">
        <v>121</v>
      </c>
      <c r="BK59" s="237"/>
      <c r="BL59" s="237" t="s">
        <v>122</v>
      </c>
      <c r="BM59" s="237"/>
    </row>
    <row r="60" spans="4:65" hidden="1" x14ac:dyDescent="0.2">
      <c r="H60" s="237">
        <v>5</v>
      </c>
      <c r="I60" s="237"/>
      <c r="J60" s="237">
        <v>6</v>
      </c>
      <c r="K60" s="237"/>
      <c r="L60" s="237">
        <v>7</v>
      </c>
      <c r="M60" s="237"/>
      <c r="N60" s="237">
        <v>8</v>
      </c>
      <c r="O60" s="237"/>
      <c r="R60" s="237">
        <v>5</v>
      </c>
      <c r="S60" s="237"/>
      <c r="T60" s="237">
        <v>6</v>
      </c>
      <c r="U60" s="237"/>
      <c r="V60" s="237">
        <v>7</v>
      </c>
      <c r="W60" s="237"/>
      <c r="X60" s="237">
        <v>8</v>
      </c>
      <c r="Y60" s="237"/>
      <c r="AB60" s="237">
        <v>5</v>
      </c>
      <c r="AC60" s="237"/>
      <c r="AD60" s="237">
        <v>6</v>
      </c>
      <c r="AE60" s="237"/>
      <c r="AF60" s="237">
        <v>7</v>
      </c>
      <c r="AG60" s="237"/>
      <c r="AH60" s="237">
        <v>8</v>
      </c>
      <c r="AI60" s="237"/>
      <c r="AL60" s="237">
        <v>5</v>
      </c>
      <c r="AM60" s="237"/>
      <c r="AN60" s="237">
        <v>6</v>
      </c>
      <c r="AO60" s="237"/>
      <c r="AP60" s="237">
        <v>7</v>
      </c>
      <c r="AQ60" s="237"/>
      <c r="AR60" s="237">
        <v>8</v>
      </c>
      <c r="AS60" s="237"/>
    </row>
    <row r="61" spans="4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</row>
    <row r="62" spans="4:65" hidden="1" x14ac:dyDescent="0.2">
      <c r="G62" t="s">
        <v>161</v>
      </c>
      <c r="H62">
        <v>6.9</v>
      </c>
      <c r="I62">
        <v>7.45</v>
      </c>
      <c r="J62">
        <v>7.1</v>
      </c>
      <c r="K62">
        <v>7.65</v>
      </c>
      <c r="L62">
        <v>7.3</v>
      </c>
      <c r="M62">
        <v>7.9</v>
      </c>
      <c r="N62">
        <v>7.5</v>
      </c>
      <c r="O62">
        <v>8.15</v>
      </c>
      <c r="Q62" t="s">
        <v>161</v>
      </c>
      <c r="R62">
        <v>6.7</v>
      </c>
      <c r="S62">
        <v>6.7</v>
      </c>
      <c r="T62">
        <v>7.05</v>
      </c>
      <c r="U62">
        <v>7.65</v>
      </c>
      <c r="V62">
        <v>7.6</v>
      </c>
      <c r="W62">
        <v>7.8</v>
      </c>
      <c r="X62">
        <v>7.6</v>
      </c>
      <c r="Y62">
        <v>7.6</v>
      </c>
      <c r="AA62" t="s">
        <v>161</v>
      </c>
      <c r="AB62">
        <v>7.8</v>
      </c>
      <c r="AC62">
        <v>8.4</v>
      </c>
      <c r="AD62">
        <v>8.3000000000000007</v>
      </c>
      <c r="AE62">
        <v>9</v>
      </c>
      <c r="AF62">
        <v>8.4</v>
      </c>
      <c r="AG62">
        <v>9</v>
      </c>
      <c r="AH62">
        <v>8.5500000000000007</v>
      </c>
      <c r="AI62">
        <v>9</v>
      </c>
      <c r="AK62" t="s">
        <v>161</v>
      </c>
      <c r="AL62">
        <v>6.4</v>
      </c>
      <c r="AM62">
        <v>6.4</v>
      </c>
      <c r="AN62">
        <v>7.65</v>
      </c>
      <c r="AO62">
        <v>7.65</v>
      </c>
      <c r="AP62">
        <v>7.45</v>
      </c>
      <c r="AQ62">
        <v>7.45</v>
      </c>
      <c r="AR62">
        <v>7.3</v>
      </c>
      <c r="AS62">
        <v>7.3</v>
      </c>
    </row>
    <row r="63" spans="4:65" hidden="1" x14ac:dyDescent="0.2">
      <c r="G63" t="s">
        <v>34</v>
      </c>
      <c r="H63">
        <v>6.5</v>
      </c>
      <c r="I63">
        <v>7</v>
      </c>
      <c r="J63">
        <v>6.7</v>
      </c>
      <c r="K63">
        <v>7.3</v>
      </c>
      <c r="L63">
        <f>0.25+J63</f>
        <v>6.95</v>
      </c>
      <c r="M63">
        <f>0.25+K63</f>
        <v>7.55</v>
      </c>
      <c r="N63">
        <f>0.2+L63</f>
        <v>7.15</v>
      </c>
      <c r="O63">
        <f>0.2+M63</f>
        <v>7.75</v>
      </c>
      <c r="Q63" t="s">
        <v>34</v>
      </c>
      <c r="R63">
        <v>6.5</v>
      </c>
      <c r="S63">
        <v>6.7</v>
      </c>
      <c r="T63">
        <v>7.05</v>
      </c>
      <c r="U63">
        <v>7.65</v>
      </c>
      <c r="V63">
        <v>7.2</v>
      </c>
      <c r="W63">
        <v>7.8</v>
      </c>
      <c r="X63">
        <f>0.2+V63</f>
        <v>7.4</v>
      </c>
      <c r="Y63">
        <v>7.6</v>
      </c>
      <c r="AA63" t="s">
        <v>34</v>
      </c>
      <c r="AB63">
        <f t="shared" ref="AB63" si="1">+AD63-0.2</f>
        <v>8.1000000000000014</v>
      </c>
      <c r="AC63">
        <f t="shared" ref="AC63" si="2">+AE63-0.2</f>
        <v>8.8000000000000007</v>
      </c>
      <c r="AD63">
        <v>8.3000000000000007</v>
      </c>
      <c r="AE63">
        <v>9</v>
      </c>
      <c r="AF63">
        <v>8.4</v>
      </c>
      <c r="AG63">
        <v>9</v>
      </c>
      <c r="AH63">
        <v>8.5500000000000007</v>
      </c>
      <c r="AI63">
        <v>9</v>
      </c>
      <c r="AK63" t="s">
        <v>34</v>
      </c>
      <c r="AL63">
        <v>6.4</v>
      </c>
      <c r="AM63">
        <v>6.4</v>
      </c>
      <c r="AN63">
        <v>7.65</v>
      </c>
      <c r="AO63">
        <v>7.65</v>
      </c>
      <c r="AP63">
        <v>7.3</v>
      </c>
      <c r="AQ63">
        <v>7.45</v>
      </c>
      <c r="AR63">
        <v>7.3</v>
      </c>
      <c r="AS63">
        <v>7.3</v>
      </c>
    </row>
    <row r="64" spans="4:65" hidden="1" x14ac:dyDescent="0.2">
      <c r="G64" t="s">
        <v>35</v>
      </c>
      <c r="H64">
        <v>6.15</v>
      </c>
      <c r="I64">
        <v>6.7</v>
      </c>
      <c r="J64">
        <v>6.4</v>
      </c>
      <c r="K64">
        <v>7</v>
      </c>
      <c r="L64">
        <f t="shared" ref="L64:L85" si="3">0.25+J64</f>
        <v>6.65</v>
      </c>
      <c r="M64">
        <f t="shared" ref="M64:M85" si="4">0.25+K64</f>
        <v>7.25</v>
      </c>
      <c r="N64">
        <f t="shared" ref="N64:N85" si="5">0.2+L64</f>
        <v>6.8500000000000005</v>
      </c>
      <c r="O64">
        <f t="shared" ref="O64:O85" si="6">0.2+M64</f>
        <v>7.45</v>
      </c>
      <c r="Q64" t="s">
        <v>35</v>
      </c>
      <c r="R64">
        <v>6.2</v>
      </c>
      <c r="S64">
        <v>6.7</v>
      </c>
      <c r="T64">
        <v>6.7</v>
      </c>
      <c r="U64">
        <v>7.3</v>
      </c>
      <c r="V64">
        <v>6.9</v>
      </c>
      <c r="W64">
        <v>7.5</v>
      </c>
      <c r="X64">
        <f t="shared" ref="X64:Y85" si="7">0.2+V64</f>
        <v>7.1000000000000005</v>
      </c>
      <c r="Y64">
        <f t="shared" si="7"/>
        <v>7.7</v>
      </c>
      <c r="AA64" t="s">
        <v>35</v>
      </c>
      <c r="AB64">
        <f t="shared" ref="AB64:AB85" si="8">+AD64-0.2</f>
        <v>6.9999999999999991</v>
      </c>
      <c r="AC64">
        <f t="shared" ref="AC64:AC85" si="9">+AE64-0.2</f>
        <v>7.7000000000000011</v>
      </c>
      <c r="AD64">
        <f t="shared" ref="AD64:AD85" si="10">+AF64-0.2</f>
        <v>7.1999999999999993</v>
      </c>
      <c r="AE64">
        <f t="shared" ref="AE64:AE85" si="11">+AG64-0.2</f>
        <v>7.9000000000000012</v>
      </c>
      <c r="AF64">
        <f t="shared" ref="AF64:AF85" si="12">+AH64-0.2</f>
        <v>7.3999999999999995</v>
      </c>
      <c r="AG64">
        <f t="shared" ref="AG64:AG85" si="13">+AI64-0.2</f>
        <v>8.1000000000000014</v>
      </c>
      <c r="AH64">
        <v>7.6</v>
      </c>
      <c r="AI64">
        <v>8.3000000000000007</v>
      </c>
      <c r="AK64" t="s">
        <v>35</v>
      </c>
      <c r="AL64">
        <v>6.4</v>
      </c>
      <c r="AM64">
        <v>6.4</v>
      </c>
      <c r="AN64">
        <v>7.2</v>
      </c>
      <c r="AO64">
        <v>7.6</v>
      </c>
      <c r="AP64">
        <v>7.1</v>
      </c>
      <c r="AQ64">
        <v>7.45</v>
      </c>
      <c r="AR64">
        <v>7.3</v>
      </c>
      <c r="AS64">
        <v>7.3</v>
      </c>
    </row>
    <row r="65" spans="7:45" hidden="1" x14ac:dyDescent="0.2">
      <c r="G65" t="s">
        <v>36</v>
      </c>
      <c r="H65">
        <v>5.9</v>
      </c>
      <c r="I65">
        <v>6.45</v>
      </c>
      <c r="J65">
        <v>6.1</v>
      </c>
      <c r="K65">
        <v>6.75</v>
      </c>
      <c r="L65">
        <f t="shared" si="3"/>
        <v>6.35</v>
      </c>
      <c r="M65">
        <f t="shared" si="4"/>
        <v>7</v>
      </c>
      <c r="N65">
        <f t="shared" si="5"/>
        <v>6.55</v>
      </c>
      <c r="O65">
        <f t="shared" si="6"/>
        <v>7.2</v>
      </c>
      <c r="Q65" t="s">
        <v>36</v>
      </c>
      <c r="R65">
        <v>5.95</v>
      </c>
      <c r="S65">
        <v>6.5</v>
      </c>
      <c r="T65">
        <v>6.4</v>
      </c>
      <c r="U65">
        <v>7</v>
      </c>
      <c r="V65">
        <v>5.6</v>
      </c>
      <c r="W65">
        <v>7.2</v>
      </c>
      <c r="X65">
        <f t="shared" si="7"/>
        <v>5.8</v>
      </c>
      <c r="Y65">
        <f t="shared" si="7"/>
        <v>7.4</v>
      </c>
      <c r="AA65" t="s">
        <v>36</v>
      </c>
      <c r="AB65">
        <f t="shared" si="8"/>
        <v>6.6999999999999993</v>
      </c>
      <c r="AC65">
        <f t="shared" si="9"/>
        <v>7.3999999999999995</v>
      </c>
      <c r="AD65">
        <f t="shared" si="10"/>
        <v>6.8999999999999995</v>
      </c>
      <c r="AE65">
        <f t="shared" si="11"/>
        <v>7.6</v>
      </c>
      <c r="AF65">
        <f t="shared" si="12"/>
        <v>7.1</v>
      </c>
      <c r="AG65">
        <f t="shared" si="13"/>
        <v>7.8</v>
      </c>
      <c r="AH65">
        <v>7.3</v>
      </c>
      <c r="AI65">
        <v>8</v>
      </c>
      <c r="AK65" t="s">
        <v>36</v>
      </c>
      <c r="AL65">
        <v>6.2</v>
      </c>
      <c r="AM65">
        <v>6.4</v>
      </c>
      <c r="AN65">
        <v>7</v>
      </c>
      <c r="AO65">
        <v>7.4</v>
      </c>
      <c r="AP65">
        <v>6.9</v>
      </c>
      <c r="AQ65">
        <v>7.3</v>
      </c>
      <c r="AR65">
        <v>7</v>
      </c>
      <c r="AS65">
        <v>7.3</v>
      </c>
    </row>
    <row r="66" spans="7:45" hidden="1" x14ac:dyDescent="0.2">
      <c r="G66" t="s">
        <v>37</v>
      </c>
      <c r="H66">
        <v>5.65</v>
      </c>
      <c r="I66">
        <v>6.2</v>
      </c>
      <c r="J66">
        <v>5.85</v>
      </c>
      <c r="K66">
        <v>6.5</v>
      </c>
      <c r="L66">
        <f t="shared" si="3"/>
        <v>6.1</v>
      </c>
      <c r="M66">
        <f t="shared" si="4"/>
        <v>6.75</v>
      </c>
      <c r="N66">
        <f t="shared" si="5"/>
        <v>6.3</v>
      </c>
      <c r="O66">
        <f t="shared" si="6"/>
        <v>6.95</v>
      </c>
      <c r="Q66" t="s">
        <v>37</v>
      </c>
      <c r="R66">
        <v>5.7</v>
      </c>
      <c r="S66">
        <v>6.25</v>
      </c>
      <c r="T66">
        <v>6.15</v>
      </c>
      <c r="U66">
        <v>6.75</v>
      </c>
      <c r="V66">
        <v>6.35</v>
      </c>
      <c r="W66">
        <v>6.95</v>
      </c>
      <c r="X66">
        <f t="shared" si="7"/>
        <v>6.55</v>
      </c>
      <c r="Y66">
        <f t="shared" si="7"/>
        <v>7.15</v>
      </c>
      <c r="AA66" t="s">
        <v>37</v>
      </c>
      <c r="AB66">
        <f t="shared" si="8"/>
        <v>6.4499999999999993</v>
      </c>
      <c r="AC66">
        <f t="shared" si="9"/>
        <v>7.1499999999999995</v>
      </c>
      <c r="AD66">
        <f t="shared" si="10"/>
        <v>6.6499999999999995</v>
      </c>
      <c r="AE66">
        <f t="shared" si="11"/>
        <v>7.35</v>
      </c>
      <c r="AF66">
        <f t="shared" si="12"/>
        <v>6.85</v>
      </c>
      <c r="AG66">
        <f t="shared" si="13"/>
        <v>7.55</v>
      </c>
      <c r="AH66">
        <v>7.05</v>
      </c>
      <c r="AI66">
        <v>7.75</v>
      </c>
      <c r="AK66" t="s">
        <v>37</v>
      </c>
      <c r="AL66">
        <v>6.1</v>
      </c>
      <c r="AM66">
        <v>6.4</v>
      </c>
      <c r="AN66">
        <v>6.7</v>
      </c>
      <c r="AO66">
        <v>7.25</v>
      </c>
      <c r="AP66">
        <v>6.75</v>
      </c>
      <c r="AQ66">
        <v>7.1</v>
      </c>
      <c r="AR66">
        <v>6.8</v>
      </c>
      <c r="AS66">
        <v>7.2</v>
      </c>
    </row>
    <row r="67" spans="7:45" hidden="1" x14ac:dyDescent="0.2">
      <c r="G67" t="s">
        <v>80</v>
      </c>
      <c r="H67">
        <v>5.45</v>
      </c>
      <c r="I67">
        <v>6</v>
      </c>
      <c r="J67">
        <v>5.65</v>
      </c>
      <c r="K67">
        <v>6.3</v>
      </c>
      <c r="L67">
        <f t="shared" si="3"/>
        <v>5.9</v>
      </c>
      <c r="M67">
        <f t="shared" si="4"/>
        <v>6.55</v>
      </c>
      <c r="N67">
        <f t="shared" si="5"/>
        <v>6.1000000000000005</v>
      </c>
      <c r="O67">
        <f t="shared" si="6"/>
        <v>6.75</v>
      </c>
      <c r="Q67" t="s">
        <v>80</v>
      </c>
      <c r="R67">
        <v>5.5</v>
      </c>
      <c r="S67">
        <v>6.05</v>
      </c>
      <c r="T67">
        <v>5.95</v>
      </c>
      <c r="U67">
        <v>6.55</v>
      </c>
      <c r="V67">
        <v>6.05</v>
      </c>
      <c r="W67">
        <v>6.75</v>
      </c>
      <c r="X67">
        <f t="shared" si="7"/>
        <v>6.25</v>
      </c>
      <c r="Y67">
        <f t="shared" si="7"/>
        <v>6.95</v>
      </c>
      <c r="AA67" t="s">
        <v>80</v>
      </c>
      <c r="AB67">
        <f t="shared" si="8"/>
        <v>6.2499999999999991</v>
      </c>
      <c r="AC67">
        <f t="shared" si="9"/>
        <v>6.9499999999999993</v>
      </c>
      <c r="AD67">
        <f t="shared" si="10"/>
        <v>6.4499999999999993</v>
      </c>
      <c r="AE67">
        <f t="shared" si="11"/>
        <v>7.1499999999999995</v>
      </c>
      <c r="AF67">
        <f t="shared" si="12"/>
        <v>6.6499999999999995</v>
      </c>
      <c r="AG67">
        <f t="shared" si="13"/>
        <v>7.35</v>
      </c>
      <c r="AH67">
        <v>6.85</v>
      </c>
      <c r="AI67">
        <v>7.55</v>
      </c>
      <c r="AK67" t="s">
        <v>80</v>
      </c>
      <c r="AL67">
        <v>6</v>
      </c>
      <c r="AM67">
        <v>6.3</v>
      </c>
      <c r="AN67">
        <v>6.5</v>
      </c>
      <c r="AO67">
        <v>7.05</v>
      </c>
      <c r="AP67">
        <v>6.6</v>
      </c>
      <c r="AQ67">
        <v>6.95</v>
      </c>
      <c r="AR67">
        <v>6.65</v>
      </c>
      <c r="AS67">
        <v>7</v>
      </c>
    </row>
    <row r="68" spans="7:45" hidden="1" x14ac:dyDescent="0.2">
      <c r="G68" t="s">
        <v>38</v>
      </c>
      <c r="H68">
        <v>5.15</v>
      </c>
      <c r="I68">
        <v>5.65</v>
      </c>
      <c r="J68">
        <v>5.35</v>
      </c>
      <c r="K68">
        <v>5.95</v>
      </c>
      <c r="L68">
        <f t="shared" si="3"/>
        <v>5.6</v>
      </c>
      <c r="M68">
        <f t="shared" si="4"/>
        <v>6.2</v>
      </c>
      <c r="N68">
        <f t="shared" si="5"/>
        <v>5.8</v>
      </c>
      <c r="O68">
        <f t="shared" si="6"/>
        <v>6.4</v>
      </c>
      <c r="Q68" t="s">
        <v>38</v>
      </c>
      <c r="R68">
        <v>5.0999999999999996</v>
      </c>
      <c r="S68">
        <v>5.65</v>
      </c>
      <c r="T68">
        <v>5.55</v>
      </c>
      <c r="U68">
        <v>6.15</v>
      </c>
      <c r="V68">
        <v>5.75</v>
      </c>
      <c r="W68">
        <v>6.35</v>
      </c>
      <c r="X68">
        <f t="shared" si="7"/>
        <v>5.95</v>
      </c>
      <c r="Y68">
        <f t="shared" si="7"/>
        <v>6.55</v>
      </c>
      <c r="AA68" t="s">
        <v>38</v>
      </c>
      <c r="AB68">
        <f t="shared" si="8"/>
        <v>5.85</v>
      </c>
      <c r="AC68">
        <f t="shared" si="9"/>
        <v>6.55</v>
      </c>
      <c r="AD68">
        <f t="shared" si="10"/>
        <v>6.05</v>
      </c>
      <c r="AE68">
        <f t="shared" si="11"/>
        <v>6.75</v>
      </c>
      <c r="AF68">
        <f t="shared" si="12"/>
        <v>6.25</v>
      </c>
      <c r="AG68">
        <f t="shared" si="13"/>
        <v>6.95</v>
      </c>
      <c r="AH68">
        <v>6.45</v>
      </c>
      <c r="AI68">
        <v>7.15</v>
      </c>
      <c r="AK68" t="s">
        <v>38</v>
      </c>
      <c r="AL68">
        <v>5.7</v>
      </c>
      <c r="AM68">
        <v>6</v>
      </c>
      <c r="AN68">
        <v>6.1</v>
      </c>
      <c r="AO68">
        <v>6.65</v>
      </c>
      <c r="AP68">
        <v>6.3</v>
      </c>
      <c r="AQ68">
        <v>6.6</v>
      </c>
      <c r="AR68">
        <v>6.35</v>
      </c>
      <c r="AS68">
        <v>6.7</v>
      </c>
    </row>
    <row r="69" spans="7:45" hidden="1" x14ac:dyDescent="0.2">
      <c r="G69" t="s">
        <v>39</v>
      </c>
      <c r="H69">
        <v>4.8499999999999996</v>
      </c>
      <c r="I69">
        <v>5.4</v>
      </c>
      <c r="J69">
        <v>5.05</v>
      </c>
      <c r="K69">
        <v>5.35</v>
      </c>
      <c r="L69">
        <f t="shared" si="3"/>
        <v>5.3</v>
      </c>
      <c r="M69">
        <f t="shared" si="4"/>
        <v>5.6</v>
      </c>
      <c r="N69">
        <f t="shared" si="5"/>
        <v>5.5</v>
      </c>
      <c r="O69">
        <f t="shared" si="6"/>
        <v>5.8</v>
      </c>
      <c r="Q69" t="s">
        <v>39</v>
      </c>
      <c r="R69">
        <v>4.8499999999999996</v>
      </c>
      <c r="S69">
        <v>5.4</v>
      </c>
      <c r="T69">
        <v>5.25</v>
      </c>
      <c r="U69">
        <v>5.85</v>
      </c>
      <c r="V69">
        <v>5.45</v>
      </c>
      <c r="W69">
        <v>6.05</v>
      </c>
      <c r="X69">
        <f t="shared" si="7"/>
        <v>5.65</v>
      </c>
      <c r="Y69">
        <f t="shared" si="7"/>
        <v>6.25</v>
      </c>
      <c r="AA69" t="s">
        <v>39</v>
      </c>
      <c r="AB69">
        <f t="shared" si="8"/>
        <v>5.55</v>
      </c>
      <c r="AC69">
        <f t="shared" si="9"/>
        <v>6.1999999999999993</v>
      </c>
      <c r="AD69">
        <f t="shared" si="10"/>
        <v>5.75</v>
      </c>
      <c r="AE69">
        <f t="shared" si="11"/>
        <v>6.3999999999999995</v>
      </c>
      <c r="AF69">
        <f t="shared" si="12"/>
        <v>5.95</v>
      </c>
      <c r="AG69">
        <f t="shared" si="13"/>
        <v>6.6</v>
      </c>
      <c r="AH69">
        <v>6.15</v>
      </c>
      <c r="AI69">
        <v>6.8</v>
      </c>
      <c r="AK69" t="s">
        <v>39</v>
      </c>
      <c r="AL69">
        <v>5.45</v>
      </c>
      <c r="AM69">
        <v>5.75</v>
      </c>
      <c r="AN69">
        <v>5.75</v>
      </c>
      <c r="AO69">
        <v>6.35</v>
      </c>
      <c r="AP69">
        <v>6</v>
      </c>
      <c r="AQ69">
        <v>6.35</v>
      </c>
      <c r="AR69">
        <v>6.1</v>
      </c>
      <c r="AS69">
        <v>6.45</v>
      </c>
    </row>
    <row r="70" spans="7:45" hidden="1" x14ac:dyDescent="0.2">
      <c r="G70" t="s">
        <v>162</v>
      </c>
      <c r="H70">
        <v>6.4</v>
      </c>
      <c r="I70">
        <v>6.75</v>
      </c>
      <c r="J70">
        <v>6.6</v>
      </c>
      <c r="K70">
        <v>7</v>
      </c>
      <c r="L70">
        <v>6.8</v>
      </c>
      <c r="M70">
        <v>7.25</v>
      </c>
      <c r="N70">
        <v>7</v>
      </c>
      <c r="O70">
        <v>7.45</v>
      </c>
      <c r="Q70" t="s">
        <v>162</v>
      </c>
      <c r="R70">
        <v>6.4</v>
      </c>
      <c r="S70">
        <v>6.7</v>
      </c>
      <c r="T70">
        <v>6.95</v>
      </c>
      <c r="U70">
        <v>7.35</v>
      </c>
      <c r="V70">
        <v>7.1</v>
      </c>
      <c r="W70">
        <v>7.55</v>
      </c>
      <c r="X70">
        <v>7.6</v>
      </c>
      <c r="Y70">
        <v>7.6</v>
      </c>
      <c r="AA70" t="s">
        <v>162</v>
      </c>
      <c r="AB70">
        <v>7.25</v>
      </c>
      <c r="AC70">
        <v>7.7</v>
      </c>
      <c r="AD70">
        <v>7.75</v>
      </c>
      <c r="AE70">
        <v>8.1999999999999993</v>
      </c>
      <c r="AF70">
        <v>7.9</v>
      </c>
      <c r="AG70">
        <v>8.35</v>
      </c>
      <c r="AH70">
        <v>8</v>
      </c>
      <c r="AI70">
        <v>8.5500000000000007</v>
      </c>
      <c r="AK70" t="s">
        <v>162</v>
      </c>
      <c r="AL70">
        <v>6.4</v>
      </c>
      <c r="AM70">
        <v>6.4</v>
      </c>
      <c r="AN70">
        <v>7.2</v>
      </c>
      <c r="AO70">
        <v>7.6</v>
      </c>
      <c r="AP70">
        <v>7.2</v>
      </c>
      <c r="AQ70">
        <v>7.3</v>
      </c>
      <c r="AR70">
        <v>7.2</v>
      </c>
      <c r="AS70">
        <v>7.3</v>
      </c>
    </row>
    <row r="71" spans="7:45" hidden="1" x14ac:dyDescent="0.2">
      <c r="G71" t="s">
        <v>40</v>
      </c>
      <c r="H71">
        <v>6.1</v>
      </c>
      <c r="I71">
        <v>6.45</v>
      </c>
      <c r="J71">
        <v>6.3</v>
      </c>
      <c r="K71">
        <v>6.75</v>
      </c>
      <c r="L71">
        <f t="shared" si="3"/>
        <v>6.55</v>
      </c>
      <c r="M71">
        <f t="shared" si="4"/>
        <v>7</v>
      </c>
      <c r="N71">
        <f t="shared" si="5"/>
        <v>6.75</v>
      </c>
      <c r="O71">
        <f t="shared" si="6"/>
        <v>7.2</v>
      </c>
      <c r="Q71" t="s">
        <v>40</v>
      </c>
      <c r="R71">
        <v>6.15</v>
      </c>
      <c r="S71">
        <v>6.5</v>
      </c>
      <c r="T71">
        <v>6.6</v>
      </c>
      <c r="U71">
        <v>7.05</v>
      </c>
      <c r="V71">
        <v>6.8</v>
      </c>
      <c r="W71">
        <v>7.25</v>
      </c>
      <c r="X71">
        <f t="shared" si="7"/>
        <v>7</v>
      </c>
      <c r="Y71">
        <f t="shared" si="7"/>
        <v>7.45</v>
      </c>
      <c r="AA71" t="s">
        <v>40</v>
      </c>
      <c r="AB71">
        <f t="shared" si="8"/>
        <v>6.8999999999999995</v>
      </c>
      <c r="AC71">
        <v>7.4</v>
      </c>
      <c r="AD71">
        <f t="shared" si="10"/>
        <v>7.1</v>
      </c>
      <c r="AE71">
        <f t="shared" si="11"/>
        <v>7.65</v>
      </c>
      <c r="AF71">
        <f t="shared" si="12"/>
        <v>7.3</v>
      </c>
      <c r="AG71">
        <f t="shared" si="13"/>
        <v>7.8500000000000005</v>
      </c>
      <c r="AH71">
        <v>7.5</v>
      </c>
      <c r="AI71">
        <v>8.0500000000000007</v>
      </c>
      <c r="AK71" t="s">
        <v>40</v>
      </c>
      <c r="AL71">
        <v>6.2</v>
      </c>
      <c r="AM71">
        <v>6.4</v>
      </c>
      <c r="AN71">
        <v>7.1</v>
      </c>
      <c r="AO71">
        <v>7.45</v>
      </c>
      <c r="AP71">
        <v>6.95</v>
      </c>
      <c r="AQ71">
        <v>7.3</v>
      </c>
      <c r="AR71">
        <f>0.1+AP71</f>
        <v>7.05</v>
      </c>
      <c r="AS71">
        <v>7.3</v>
      </c>
    </row>
    <row r="72" spans="7:45" hidden="1" x14ac:dyDescent="0.2">
      <c r="G72" t="s">
        <v>41</v>
      </c>
      <c r="H72">
        <v>5.8</v>
      </c>
      <c r="I72">
        <v>6.2</v>
      </c>
      <c r="J72">
        <v>6.05</v>
      </c>
      <c r="K72">
        <v>6.5</v>
      </c>
      <c r="L72">
        <f t="shared" si="3"/>
        <v>6.3</v>
      </c>
      <c r="M72">
        <f t="shared" si="4"/>
        <v>6.75</v>
      </c>
      <c r="N72">
        <f t="shared" si="5"/>
        <v>6.5</v>
      </c>
      <c r="O72">
        <f t="shared" si="6"/>
        <v>6.95</v>
      </c>
      <c r="Q72" t="s">
        <v>41</v>
      </c>
      <c r="R72">
        <v>5.85</v>
      </c>
      <c r="S72">
        <v>6.25</v>
      </c>
      <c r="T72">
        <v>6.3</v>
      </c>
      <c r="U72">
        <v>6.8</v>
      </c>
      <c r="V72">
        <v>6.5</v>
      </c>
      <c r="W72">
        <v>7</v>
      </c>
      <c r="X72">
        <f t="shared" si="7"/>
        <v>6.7</v>
      </c>
      <c r="Y72">
        <f t="shared" si="7"/>
        <v>7.2</v>
      </c>
      <c r="AA72" t="s">
        <v>41</v>
      </c>
      <c r="AB72">
        <f t="shared" si="8"/>
        <v>6.6</v>
      </c>
      <c r="AC72">
        <f t="shared" si="9"/>
        <v>7.1499999999999995</v>
      </c>
      <c r="AD72">
        <f t="shared" si="10"/>
        <v>6.8</v>
      </c>
      <c r="AE72">
        <f t="shared" si="11"/>
        <v>7.35</v>
      </c>
      <c r="AF72">
        <f t="shared" si="12"/>
        <v>7</v>
      </c>
      <c r="AG72">
        <f t="shared" si="13"/>
        <v>7.55</v>
      </c>
      <c r="AH72">
        <v>7.2</v>
      </c>
      <c r="AI72">
        <v>7.75</v>
      </c>
      <c r="AK72" t="s">
        <v>41</v>
      </c>
      <c r="AL72">
        <v>6.1</v>
      </c>
      <c r="AM72">
        <v>6.4</v>
      </c>
      <c r="AN72">
        <v>6.85</v>
      </c>
      <c r="AO72">
        <v>7.25</v>
      </c>
      <c r="AP72">
        <v>6.8</v>
      </c>
      <c r="AQ72">
        <v>7.15</v>
      </c>
      <c r="AR72">
        <f t="shared" ref="AR72:AR85" si="14">0.1+AP72</f>
        <v>6.8999999999999995</v>
      </c>
      <c r="AS72">
        <f t="shared" ref="AS72:AS85" si="15">0.1+AQ72</f>
        <v>7.25</v>
      </c>
    </row>
    <row r="73" spans="7:45" hidden="1" x14ac:dyDescent="0.2">
      <c r="G73" t="s">
        <v>42</v>
      </c>
      <c r="H73">
        <v>5.6</v>
      </c>
      <c r="I73">
        <v>6</v>
      </c>
      <c r="J73">
        <v>5.8</v>
      </c>
      <c r="K73">
        <v>6.3</v>
      </c>
      <c r="L73">
        <f t="shared" si="3"/>
        <v>6.05</v>
      </c>
      <c r="M73">
        <f t="shared" si="4"/>
        <v>6.55</v>
      </c>
      <c r="N73">
        <f t="shared" si="5"/>
        <v>6.25</v>
      </c>
      <c r="O73">
        <f t="shared" si="6"/>
        <v>6.75</v>
      </c>
      <c r="Q73" t="s">
        <v>42</v>
      </c>
      <c r="R73">
        <v>5.6</v>
      </c>
      <c r="S73">
        <v>6.05</v>
      </c>
      <c r="T73">
        <v>6.1</v>
      </c>
      <c r="U73">
        <v>6.55</v>
      </c>
      <c r="V73">
        <v>6.3</v>
      </c>
      <c r="W73">
        <v>6.75</v>
      </c>
      <c r="X73">
        <f t="shared" si="7"/>
        <v>6.5</v>
      </c>
      <c r="Y73">
        <f t="shared" si="7"/>
        <v>6.95</v>
      </c>
      <c r="AA73" t="s">
        <v>42</v>
      </c>
      <c r="AB73">
        <f t="shared" si="8"/>
        <v>6.3999999999999995</v>
      </c>
      <c r="AC73">
        <f t="shared" si="9"/>
        <v>6.9499999999999993</v>
      </c>
      <c r="AD73">
        <f t="shared" si="10"/>
        <v>6.6</v>
      </c>
      <c r="AE73">
        <f t="shared" si="11"/>
        <v>7.1499999999999995</v>
      </c>
      <c r="AF73">
        <f t="shared" si="12"/>
        <v>6.8</v>
      </c>
      <c r="AG73">
        <f t="shared" si="13"/>
        <v>7.35</v>
      </c>
      <c r="AH73">
        <v>7</v>
      </c>
      <c r="AI73">
        <v>7.55</v>
      </c>
      <c r="AK73" t="s">
        <v>42</v>
      </c>
      <c r="AL73">
        <v>6</v>
      </c>
      <c r="AM73">
        <v>6.3</v>
      </c>
      <c r="AN73">
        <v>6.65</v>
      </c>
      <c r="AO73">
        <v>7.05</v>
      </c>
      <c r="AP73">
        <v>6.65</v>
      </c>
      <c r="AQ73">
        <v>7</v>
      </c>
      <c r="AR73">
        <f t="shared" si="14"/>
        <v>6.75</v>
      </c>
      <c r="AS73">
        <f t="shared" si="15"/>
        <v>7.1</v>
      </c>
    </row>
    <row r="74" spans="7:45" hidden="1" x14ac:dyDescent="0.2">
      <c r="G74" t="s">
        <v>43</v>
      </c>
      <c r="H74">
        <v>5.4</v>
      </c>
      <c r="I74">
        <v>5.8</v>
      </c>
      <c r="J74">
        <v>5.6</v>
      </c>
      <c r="K74">
        <v>6.1</v>
      </c>
      <c r="L74">
        <f t="shared" si="3"/>
        <v>5.85</v>
      </c>
      <c r="M74">
        <f t="shared" si="4"/>
        <v>6.35</v>
      </c>
      <c r="N74">
        <f t="shared" si="5"/>
        <v>6.05</v>
      </c>
      <c r="O74">
        <f t="shared" si="6"/>
        <v>6.55</v>
      </c>
      <c r="Q74" t="s">
        <v>43</v>
      </c>
      <c r="R74">
        <v>5.4</v>
      </c>
      <c r="S74">
        <v>5.85</v>
      </c>
      <c r="T74">
        <v>5.85</v>
      </c>
      <c r="U74">
        <v>6.35</v>
      </c>
      <c r="V74">
        <v>6.1</v>
      </c>
      <c r="W74">
        <v>6.6</v>
      </c>
      <c r="X74">
        <f t="shared" si="7"/>
        <v>6.3</v>
      </c>
      <c r="Y74">
        <f t="shared" si="7"/>
        <v>6.8</v>
      </c>
      <c r="AA74" t="s">
        <v>43</v>
      </c>
      <c r="AB74">
        <f t="shared" si="8"/>
        <v>6.1499999999999995</v>
      </c>
      <c r="AC74">
        <f t="shared" si="9"/>
        <v>6.6999999999999993</v>
      </c>
      <c r="AD74">
        <f t="shared" si="10"/>
        <v>6.35</v>
      </c>
      <c r="AE74">
        <f t="shared" si="11"/>
        <v>6.8999999999999995</v>
      </c>
      <c r="AF74">
        <f t="shared" si="12"/>
        <v>6.55</v>
      </c>
      <c r="AG74">
        <f t="shared" si="13"/>
        <v>7.1</v>
      </c>
      <c r="AH74">
        <v>6.75</v>
      </c>
      <c r="AI74">
        <v>7.3</v>
      </c>
      <c r="AK74" t="s">
        <v>43</v>
      </c>
      <c r="AL74">
        <v>5.85</v>
      </c>
      <c r="AM74">
        <v>6.15</v>
      </c>
      <c r="AN74">
        <v>6.4</v>
      </c>
      <c r="AO74">
        <v>6.9</v>
      </c>
      <c r="AP74">
        <v>6.5</v>
      </c>
      <c r="AQ74">
        <v>6.85</v>
      </c>
      <c r="AR74">
        <f t="shared" si="14"/>
        <v>6.6</v>
      </c>
      <c r="AS74">
        <f t="shared" si="15"/>
        <v>6.9499999999999993</v>
      </c>
    </row>
    <row r="75" spans="7:45" hidden="1" x14ac:dyDescent="0.2">
      <c r="G75" t="s">
        <v>81</v>
      </c>
      <c r="H75">
        <v>5.25</v>
      </c>
      <c r="I75">
        <v>5.65</v>
      </c>
      <c r="J75">
        <v>5.45</v>
      </c>
      <c r="K75">
        <v>6.05</v>
      </c>
      <c r="L75">
        <f t="shared" si="3"/>
        <v>5.7</v>
      </c>
      <c r="M75">
        <f t="shared" si="4"/>
        <v>6.3</v>
      </c>
      <c r="N75">
        <f t="shared" si="5"/>
        <v>5.9</v>
      </c>
      <c r="O75">
        <f t="shared" si="6"/>
        <v>6.5</v>
      </c>
      <c r="Q75" t="s">
        <v>81</v>
      </c>
      <c r="R75">
        <v>5.25</v>
      </c>
      <c r="S75">
        <v>5.65</v>
      </c>
      <c r="T75">
        <v>5.7</v>
      </c>
      <c r="U75">
        <v>6.15</v>
      </c>
      <c r="V75">
        <v>5.9</v>
      </c>
      <c r="W75">
        <v>6.35</v>
      </c>
      <c r="X75">
        <f t="shared" si="7"/>
        <v>6.1000000000000005</v>
      </c>
      <c r="Y75">
        <f t="shared" si="7"/>
        <v>6.55</v>
      </c>
      <c r="AA75" t="s">
        <v>81</v>
      </c>
      <c r="AB75">
        <f t="shared" si="8"/>
        <v>5.9999999999999991</v>
      </c>
      <c r="AC75">
        <f t="shared" si="9"/>
        <v>6.55</v>
      </c>
      <c r="AD75">
        <f t="shared" si="10"/>
        <v>6.1999999999999993</v>
      </c>
      <c r="AE75">
        <f t="shared" si="11"/>
        <v>6.75</v>
      </c>
      <c r="AF75">
        <f t="shared" si="12"/>
        <v>6.3999999999999995</v>
      </c>
      <c r="AG75">
        <f t="shared" si="13"/>
        <v>6.95</v>
      </c>
      <c r="AH75">
        <v>6.6</v>
      </c>
      <c r="AI75">
        <v>7.15</v>
      </c>
      <c r="AK75" t="s">
        <v>81</v>
      </c>
      <c r="AL75">
        <v>5.7</v>
      </c>
      <c r="AM75">
        <v>6</v>
      </c>
      <c r="AN75">
        <v>6.2</v>
      </c>
      <c r="AO75">
        <v>6.7</v>
      </c>
      <c r="AP75">
        <v>6.35</v>
      </c>
      <c r="AQ75">
        <v>6.7</v>
      </c>
      <c r="AR75">
        <f t="shared" si="14"/>
        <v>6.4499999999999993</v>
      </c>
      <c r="AS75">
        <f t="shared" si="15"/>
        <v>6.8</v>
      </c>
    </row>
    <row r="76" spans="7:45" hidden="1" x14ac:dyDescent="0.2">
      <c r="G76" t="s">
        <v>44</v>
      </c>
      <c r="H76">
        <v>4.95</v>
      </c>
      <c r="I76">
        <v>5.35</v>
      </c>
      <c r="J76">
        <v>5.05</v>
      </c>
      <c r="K76">
        <v>5.65</v>
      </c>
      <c r="L76">
        <f t="shared" si="3"/>
        <v>5.3</v>
      </c>
      <c r="M76">
        <f t="shared" si="4"/>
        <v>5.9</v>
      </c>
      <c r="N76">
        <f t="shared" si="5"/>
        <v>5.5</v>
      </c>
      <c r="O76">
        <f t="shared" si="6"/>
        <v>6.1000000000000005</v>
      </c>
      <c r="Q76" t="s">
        <v>44</v>
      </c>
      <c r="R76">
        <v>4.95</v>
      </c>
      <c r="S76">
        <v>5.35</v>
      </c>
      <c r="T76">
        <v>5.35</v>
      </c>
      <c r="U76">
        <v>5.85</v>
      </c>
      <c r="V76">
        <v>5.55</v>
      </c>
      <c r="W76">
        <v>6.05</v>
      </c>
      <c r="X76">
        <f t="shared" si="7"/>
        <v>5.75</v>
      </c>
      <c r="Y76">
        <f t="shared" si="7"/>
        <v>6.25</v>
      </c>
      <c r="AA76" t="s">
        <v>44</v>
      </c>
      <c r="AB76">
        <f t="shared" si="8"/>
        <v>5.6499999999999995</v>
      </c>
      <c r="AC76">
        <f t="shared" si="9"/>
        <v>6.1499999999999995</v>
      </c>
      <c r="AD76">
        <f t="shared" si="10"/>
        <v>5.85</v>
      </c>
      <c r="AE76">
        <f t="shared" si="11"/>
        <v>6.35</v>
      </c>
      <c r="AF76">
        <f t="shared" si="12"/>
        <v>6.05</v>
      </c>
      <c r="AG76">
        <f t="shared" si="13"/>
        <v>6.55</v>
      </c>
      <c r="AH76">
        <v>6.25</v>
      </c>
      <c r="AI76">
        <v>6.75</v>
      </c>
      <c r="AK76" t="s">
        <v>44</v>
      </c>
      <c r="AL76">
        <v>5.5</v>
      </c>
      <c r="AM76">
        <v>5.8</v>
      </c>
      <c r="AN76">
        <v>6.1</v>
      </c>
      <c r="AO76">
        <v>6.45</v>
      </c>
      <c r="AP76">
        <v>6.15</v>
      </c>
      <c r="AQ76">
        <v>6.45</v>
      </c>
      <c r="AR76">
        <f t="shared" si="14"/>
        <v>6.25</v>
      </c>
      <c r="AS76">
        <f t="shared" si="15"/>
        <v>6.55</v>
      </c>
    </row>
    <row r="77" spans="7:45" hidden="1" x14ac:dyDescent="0.2">
      <c r="G77" t="s">
        <v>67</v>
      </c>
      <c r="H77">
        <v>4.7</v>
      </c>
      <c r="I77">
        <v>5.15</v>
      </c>
      <c r="J77">
        <v>4.9000000000000004</v>
      </c>
      <c r="K77">
        <v>5.45</v>
      </c>
      <c r="L77">
        <f t="shared" si="3"/>
        <v>5.15</v>
      </c>
      <c r="M77">
        <f t="shared" si="4"/>
        <v>5.7</v>
      </c>
      <c r="N77">
        <f t="shared" si="5"/>
        <v>5.3500000000000005</v>
      </c>
      <c r="O77">
        <f t="shared" si="6"/>
        <v>5.9</v>
      </c>
      <c r="Q77" t="s">
        <v>67</v>
      </c>
      <c r="R77">
        <v>4.7</v>
      </c>
      <c r="S77">
        <v>5.15</v>
      </c>
      <c r="T77">
        <v>5.0999999999999996</v>
      </c>
      <c r="U77">
        <v>5.6</v>
      </c>
      <c r="V77">
        <v>5.3</v>
      </c>
      <c r="W77">
        <v>5.8</v>
      </c>
      <c r="X77">
        <f t="shared" si="7"/>
        <v>5.5</v>
      </c>
      <c r="Y77">
        <f t="shared" si="7"/>
        <v>6</v>
      </c>
      <c r="AA77" t="s">
        <v>67</v>
      </c>
      <c r="AB77">
        <f t="shared" si="8"/>
        <v>5.3999999999999995</v>
      </c>
      <c r="AC77">
        <f t="shared" si="9"/>
        <v>5.9499999999999993</v>
      </c>
      <c r="AD77">
        <f t="shared" si="10"/>
        <v>5.6</v>
      </c>
      <c r="AE77">
        <f t="shared" si="11"/>
        <v>6.1499999999999995</v>
      </c>
      <c r="AF77">
        <f t="shared" si="12"/>
        <v>5.8</v>
      </c>
      <c r="AG77">
        <f t="shared" si="13"/>
        <v>6.35</v>
      </c>
      <c r="AH77">
        <v>6</v>
      </c>
      <c r="AI77">
        <v>6.55</v>
      </c>
      <c r="AK77" t="s">
        <v>67</v>
      </c>
      <c r="AL77">
        <v>5.3</v>
      </c>
      <c r="AM77">
        <v>5.6</v>
      </c>
      <c r="AN77">
        <v>5.8</v>
      </c>
      <c r="AO77">
        <v>6.2</v>
      </c>
      <c r="AP77">
        <v>5.9</v>
      </c>
      <c r="AQ77">
        <v>6.25</v>
      </c>
      <c r="AR77">
        <f t="shared" si="14"/>
        <v>6</v>
      </c>
      <c r="AS77">
        <f t="shared" si="15"/>
        <v>6.35</v>
      </c>
    </row>
    <row r="78" spans="7:45" hidden="1" x14ac:dyDescent="0.2">
      <c r="G78" t="s">
        <v>163</v>
      </c>
      <c r="H78">
        <v>5.85</v>
      </c>
      <c r="I78">
        <v>6.05</v>
      </c>
      <c r="J78">
        <v>6.05</v>
      </c>
      <c r="K78">
        <v>6.3</v>
      </c>
      <c r="L78">
        <f t="shared" si="3"/>
        <v>6.3</v>
      </c>
      <c r="M78">
        <f t="shared" si="4"/>
        <v>6.55</v>
      </c>
      <c r="N78">
        <f t="shared" si="5"/>
        <v>6.5</v>
      </c>
      <c r="O78">
        <f t="shared" si="6"/>
        <v>6.75</v>
      </c>
      <c r="Q78" t="s">
        <v>163</v>
      </c>
      <c r="R78">
        <v>5.85</v>
      </c>
      <c r="S78">
        <v>6.05</v>
      </c>
      <c r="T78">
        <v>6.35</v>
      </c>
      <c r="U78">
        <v>6.6</v>
      </c>
      <c r="V78">
        <v>6.5</v>
      </c>
      <c r="W78">
        <v>6.8</v>
      </c>
      <c r="X78">
        <v>6.6</v>
      </c>
      <c r="Y78">
        <v>6.95</v>
      </c>
      <c r="AA78" t="s">
        <v>163</v>
      </c>
      <c r="AB78">
        <v>6.65</v>
      </c>
      <c r="AC78">
        <v>6.95</v>
      </c>
      <c r="AD78">
        <v>7.1</v>
      </c>
      <c r="AE78">
        <v>7.4</v>
      </c>
      <c r="AF78">
        <v>7.25</v>
      </c>
      <c r="AG78">
        <v>7.6</v>
      </c>
      <c r="AH78">
        <v>7.4</v>
      </c>
      <c r="AI78">
        <v>7.8</v>
      </c>
      <c r="AK78" t="s">
        <v>163</v>
      </c>
      <c r="AL78">
        <v>5.95</v>
      </c>
      <c r="AM78">
        <v>6.3</v>
      </c>
      <c r="AN78">
        <v>6.65</v>
      </c>
      <c r="AO78">
        <v>7</v>
      </c>
      <c r="AP78">
        <v>6.75</v>
      </c>
      <c r="AQ78">
        <v>7.15</v>
      </c>
      <c r="AR78">
        <v>6.75</v>
      </c>
      <c r="AS78">
        <v>7.1</v>
      </c>
    </row>
    <row r="79" spans="7:45" hidden="1" x14ac:dyDescent="0.2">
      <c r="G79" t="s">
        <v>50</v>
      </c>
      <c r="H79">
        <v>5.6</v>
      </c>
      <c r="I79">
        <v>5.85</v>
      </c>
      <c r="J79">
        <v>5.8</v>
      </c>
      <c r="K79">
        <v>6.05</v>
      </c>
      <c r="L79">
        <f t="shared" si="3"/>
        <v>6.05</v>
      </c>
      <c r="M79">
        <f t="shared" si="4"/>
        <v>6.3</v>
      </c>
      <c r="N79">
        <f t="shared" si="5"/>
        <v>6.25</v>
      </c>
      <c r="O79">
        <f t="shared" si="6"/>
        <v>6.5</v>
      </c>
      <c r="Q79" t="s">
        <v>50</v>
      </c>
      <c r="R79">
        <v>5.65</v>
      </c>
      <c r="S79">
        <v>5.85</v>
      </c>
      <c r="T79">
        <v>6.1</v>
      </c>
      <c r="U79">
        <v>6.35</v>
      </c>
      <c r="V79">
        <v>6.3</v>
      </c>
      <c r="W79">
        <v>6.55</v>
      </c>
      <c r="X79">
        <f t="shared" si="7"/>
        <v>6.5</v>
      </c>
      <c r="Y79">
        <f t="shared" si="7"/>
        <v>6.75</v>
      </c>
      <c r="AA79" t="s">
        <v>50</v>
      </c>
      <c r="AB79">
        <f t="shared" si="8"/>
        <v>6.3999999999999995</v>
      </c>
      <c r="AC79">
        <f t="shared" si="9"/>
        <v>6.7499999999999991</v>
      </c>
      <c r="AD79">
        <f t="shared" si="10"/>
        <v>6.6</v>
      </c>
      <c r="AE79">
        <f t="shared" si="11"/>
        <v>6.9499999999999993</v>
      </c>
      <c r="AF79">
        <f t="shared" si="12"/>
        <v>6.8</v>
      </c>
      <c r="AG79">
        <f t="shared" si="13"/>
        <v>7.1499999999999995</v>
      </c>
      <c r="AH79">
        <v>7</v>
      </c>
      <c r="AI79">
        <v>7.35</v>
      </c>
      <c r="AK79" t="s">
        <v>50</v>
      </c>
      <c r="AL79">
        <v>5.85</v>
      </c>
      <c r="AM79">
        <v>6.15</v>
      </c>
      <c r="AN79">
        <v>6.5</v>
      </c>
      <c r="AO79">
        <v>6.85</v>
      </c>
      <c r="AP79">
        <v>6.5</v>
      </c>
      <c r="AQ79">
        <v>6.85</v>
      </c>
      <c r="AR79">
        <f t="shared" si="14"/>
        <v>6.6</v>
      </c>
      <c r="AS79">
        <f t="shared" si="15"/>
        <v>6.9499999999999993</v>
      </c>
    </row>
    <row r="80" spans="7:45" hidden="1" x14ac:dyDescent="0.2">
      <c r="G80" t="s">
        <v>76</v>
      </c>
      <c r="H80">
        <v>5.4</v>
      </c>
      <c r="I80">
        <v>5.65</v>
      </c>
      <c r="J80">
        <v>5.6</v>
      </c>
      <c r="K80">
        <v>5.95</v>
      </c>
      <c r="L80">
        <f t="shared" si="3"/>
        <v>5.85</v>
      </c>
      <c r="M80">
        <f t="shared" si="4"/>
        <v>6.2</v>
      </c>
      <c r="N80">
        <f t="shared" si="5"/>
        <v>6.05</v>
      </c>
      <c r="O80">
        <f t="shared" si="6"/>
        <v>6.4</v>
      </c>
      <c r="Q80" t="s">
        <v>76</v>
      </c>
      <c r="R80">
        <v>5.45</v>
      </c>
      <c r="S80">
        <v>5.7</v>
      </c>
      <c r="T80">
        <v>5.9</v>
      </c>
      <c r="U80">
        <v>6.2</v>
      </c>
      <c r="V80">
        <v>6.1</v>
      </c>
      <c r="W80">
        <v>6.4</v>
      </c>
      <c r="X80">
        <f t="shared" si="7"/>
        <v>6.3</v>
      </c>
      <c r="Y80">
        <f t="shared" si="7"/>
        <v>6.6000000000000005</v>
      </c>
      <c r="AA80" t="s">
        <v>76</v>
      </c>
      <c r="AB80">
        <f t="shared" si="8"/>
        <v>6.1999999999999993</v>
      </c>
      <c r="AC80">
        <f t="shared" si="9"/>
        <v>6.55</v>
      </c>
      <c r="AD80">
        <f t="shared" si="10"/>
        <v>6.3999999999999995</v>
      </c>
      <c r="AE80">
        <f t="shared" si="11"/>
        <v>6.75</v>
      </c>
      <c r="AF80">
        <f t="shared" si="12"/>
        <v>6.6</v>
      </c>
      <c r="AG80">
        <f t="shared" si="13"/>
        <v>6.95</v>
      </c>
      <c r="AH80">
        <v>6.8</v>
      </c>
      <c r="AI80">
        <v>7.15</v>
      </c>
      <c r="AK80" t="s">
        <v>76</v>
      </c>
      <c r="AL80">
        <v>5.7</v>
      </c>
      <c r="AM80">
        <v>6</v>
      </c>
      <c r="AN80">
        <v>6.35</v>
      </c>
      <c r="AO80">
        <v>6.7</v>
      </c>
      <c r="AP80">
        <v>6.35</v>
      </c>
      <c r="AQ80">
        <v>6.7</v>
      </c>
      <c r="AR80">
        <f t="shared" si="14"/>
        <v>6.4499999999999993</v>
      </c>
      <c r="AS80">
        <f t="shared" si="15"/>
        <v>6.8</v>
      </c>
    </row>
    <row r="81" spans="5:45" hidden="1" x14ac:dyDescent="0.2">
      <c r="G81" t="s">
        <v>77</v>
      </c>
      <c r="H81">
        <v>5.25</v>
      </c>
      <c r="I81">
        <v>5.5</v>
      </c>
      <c r="J81">
        <v>5.45</v>
      </c>
      <c r="K81">
        <v>5.8</v>
      </c>
      <c r="L81">
        <f t="shared" si="3"/>
        <v>5.7</v>
      </c>
      <c r="M81">
        <f t="shared" si="4"/>
        <v>6.05</v>
      </c>
      <c r="N81">
        <f t="shared" si="5"/>
        <v>5.9</v>
      </c>
      <c r="O81">
        <f t="shared" si="6"/>
        <v>6.25</v>
      </c>
      <c r="Q81" t="s">
        <v>77</v>
      </c>
      <c r="R81">
        <v>5.25</v>
      </c>
      <c r="S81">
        <v>5.5</v>
      </c>
      <c r="T81">
        <v>5.7</v>
      </c>
      <c r="U81">
        <v>6</v>
      </c>
      <c r="V81">
        <v>5.9</v>
      </c>
      <c r="W81">
        <v>6.2</v>
      </c>
      <c r="X81">
        <f t="shared" si="7"/>
        <v>6.1000000000000005</v>
      </c>
      <c r="Y81">
        <f t="shared" si="7"/>
        <v>6.4</v>
      </c>
      <c r="AA81" t="s">
        <v>77</v>
      </c>
      <c r="AB81">
        <f t="shared" si="8"/>
        <v>5.9999999999999991</v>
      </c>
      <c r="AC81">
        <f t="shared" si="9"/>
        <v>6.3999999999999995</v>
      </c>
      <c r="AD81">
        <f t="shared" si="10"/>
        <v>6.1999999999999993</v>
      </c>
      <c r="AE81">
        <f t="shared" si="11"/>
        <v>6.6</v>
      </c>
      <c r="AF81">
        <f t="shared" si="12"/>
        <v>6.3999999999999995</v>
      </c>
      <c r="AG81">
        <f t="shared" si="13"/>
        <v>6.8</v>
      </c>
      <c r="AH81">
        <v>6.6</v>
      </c>
      <c r="AI81">
        <v>7</v>
      </c>
      <c r="AK81" t="s">
        <v>77</v>
      </c>
      <c r="AL81">
        <v>5.6</v>
      </c>
      <c r="AM81">
        <v>5.9</v>
      </c>
      <c r="AN81">
        <v>6.25</v>
      </c>
      <c r="AO81">
        <v>6.55</v>
      </c>
      <c r="AP81">
        <v>6.25</v>
      </c>
      <c r="AQ81">
        <v>6.6</v>
      </c>
      <c r="AR81">
        <f t="shared" si="14"/>
        <v>6.35</v>
      </c>
      <c r="AS81">
        <f t="shared" si="15"/>
        <v>6.6999999999999993</v>
      </c>
    </row>
    <row r="82" spans="5:45" hidden="1" x14ac:dyDescent="0.2">
      <c r="G82" t="s">
        <v>46</v>
      </c>
      <c r="H82">
        <v>5.0999999999999996</v>
      </c>
      <c r="I82">
        <v>5.4</v>
      </c>
      <c r="J82">
        <v>5.3</v>
      </c>
      <c r="K82">
        <v>5.7</v>
      </c>
      <c r="L82">
        <f t="shared" si="3"/>
        <v>5.55</v>
      </c>
      <c r="M82">
        <f t="shared" si="4"/>
        <v>5.95</v>
      </c>
      <c r="N82">
        <f t="shared" si="5"/>
        <v>5.75</v>
      </c>
      <c r="O82">
        <f t="shared" si="6"/>
        <v>6.15</v>
      </c>
      <c r="Q82" t="s">
        <v>46</v>
      </c>
      <c r="R82">
        <v>5.0999999999999996</v>
      </c>
      <c r="S82">
        <v>5.4</v>
      </c>
      <c r="T82">
        <v>5.55</v>
      </c>
      <c r="U82">
        <v>5.85</v>
      </c>
      <c r="V82">
        <v>5.75</v>
      </c>
      <c r="W82">
        <v>5.95</v>
      </c>
      <c r="X82">
        <f t="shared" si="7"/>
        <v>5.95</v>
      </c>
      <c r="Y82">
        <f t="shared" si="7"/>
        <v>6.15</v>
      </c>
      <c r="AA82" t="s">
        <v>46</v>
      </c>
      <c r="AB82">
        <f t="shared" si="8"/>
        <v>5.8</v>
      </c>
      <c r="AC82">
        <f t="shared" si="9"/>
        <v>6.2499999999999991</v>
      </c>
      <c r="AD82">
        <f t="shared" si="10"/>
        <v>6</v>
      </c>
      <c r="AE82">
        <f t="shared" si="11"/>
        <v>6.4499999999999993</v>
      </c>
      <c r="AF82">
        <f t="shared" si="12"/>
        <v>6.2</v>
      </c>
      <c r="AG82">
        <f t="shared" si="13"/>
        <v>6.6499999999999995</v>
      </c>
      <c r="AH82">
        <v>6.4</v>
      </c>
      <c r="AI82">
        <v>6.85</v>
      </c>
      <c r="AK82" t="s">
        <v>46</v>
      </c>
      <c r="AL82">
        <v>5.5</v>
      </c>
      <c r="AM82">
        <v>5.8</v>
      </c>
      <c r="AN82">
        <v>6.1</v>
      </c>
      <c r="AO82">
        <v>6.45</v>
      </c>
      <c r="AP82">
        <v>6.15</v>
      </c>
      <c r="AQ82">
        <v>6.45</v>
      </c>
      <c r="AR82">
        <f t="shared" si="14"/>
        <v>6.25</v>
      </c>
      <c r="AS82">
        <f t="shared" si="15"/>
        <v>6.55</v>
      </c>
    </row>
    <row r="83" spans="5:45" hidden="1" x14ac:dyDescent="0.2">
      <c r="G83" t="s">
        <v>82</v>
      </c>
      <c r="H83">
        <v>4.95</v>
      </c>
      <c r="I83">
        <v>5.25</v>
      </c>
      <c r="J83">
        <v>5.05</v>
      </c>
      <c r="K83">
        <v>5.55</v>
      </c>
      <c r="L83">
        <f t="shared" si="3"/>
        <v>5.3</v>
      </c>
      <c r="M83">
        <f t="shared" si="4"/>
        <v>5.8</v>
      </c>
      <c r="N83">
        <f t="shared" si="5"/>
        <v>5.5</v>
      </c>
      <c r="O83">
        <f t="shared" si="6"/>
        <v>6</v>
      </c>
      <c r="Q83" t="s">
        <v>82</v>
      </c>
      <c r="R83">
        <v>4.95</v>
      </c>
      <c r="S83">
        <v>5.25</v>
      </c>
      <c r="T83">
        <v>5.4</v>
      </c>
      <c r="U83">
        <v>5.7</v>
      </c>
      <c r="V83">
        <v>5.6</v>
      </c>
      <c r="W83">
        <v>5.9</v>
      </c>
      <c r="X83">
        <f t="shared" si="7"/>
        <v>5.8</v>
      </c>
      <c r="Y83">
        <f t="shared" si="7"/>
        <v>6.1000000000000005</v>
      </c>
      <c r="AA83" t="s">
        <v>82</v>
      </c>
      <c r="AB83">
        <f t="shared" si="8"/>
        <v>5.6499999999999995</v>
      </c>
      <c r="AC83">
        <f t="shared" si="9"/>
        <v>6.1</v>
      </c>
      <c r="AD83">
        <f t="shared" si="10"/>
        <v>5.85</v>
      </c>
      <c r="AE83">
        <f t="shared" si="11"/>
        <v>6.3</v>
      </c>
      <c r="AF83">
        <f t="shared" si="12"/>
        <v>6.05</v>
      </c>
      <c r="AG83">
        <f t="shared" si="13"/>
        <v>6.5</v>
      </c>
      <c r="AH83">
        <v>6.25</v>
      </c>
      <c r="AI83">
        <v>6.7</v>
      </c>
      <c r="AK83" t="s">
        <v>82</v>
      </c>
      <c r="AL83">
        <v>5.4</v>
      </c>
      <c r="AM83">
        <v>5.7</v>
      </c>
      <c r="AN83">
        <v>6</v>
      </c>
      <c r="AO83">
        <v>6.3</v>
      </c>
      <c r="AP83">
        <v>6</v>
      </c>
      <c r="AQ83">
        <v>6.35</v>
      </c>
      <c r="AR83">
        <f t="shared" si="14"/>
        <v>6.1</v>
      </c>
      <c r="AS83">
        <f t="shared" si="15"/>
        <v>6.4499999999999993</v>
      </c>
    </row>
    <row r="84" spans="5:45" hidden="1" x14ac:dyDescent="0.2">
      <c r="G84" t="s">
        <v>45</v>
      </c>
      <c r="H84">
        <v>4.7</v>
      </c>
      <c r="I84">
        <v>5.05</v>
      </c>
      <c r="J84">
        <v>4.9000000000000004</v>
      </c>
      <c r="K84">
        <v>5.35</v>
      </c>
      <c r="L84">
        <f t="shared" si="3"/>
        <v>5.15</v>
      </c>
      <c r="M84">
        <f t="shared" si="4"/>
        <v>5.6</v>
      </c>
      <c r="N84">
        <f t="shared" si="5"/>
        <v>5.3500000000000005</v>
      </c>
      <c r="O84">
        <f t="shared" si="6"/>
        <v>5.8</v>
      </c>
      <c r="Q84" t="s">
        <v>45</v>
      </c>
      <c r="R84">
        <v>4.7</v>
      </c>
      <c r="S84">
        <v>5</v>
      </c>
      <c r="T84">
        <v>5.0999999999999996</v>
      </c>
      <c r="U84">
        <v>5.45</v>
      </c>
      <c r="V84">
        <v>5.3</v>
      </c>
      <c r="W84">
        <v>5.65</v>
      </c>
      <c r="X84">
        <f t="shared" si="7"/>
        <v>5.5</v>
      </c>
      <c r="Y84">
        <f t="shared" si="7"/>
        <v>5.8500000000000005</v>
      </c>
      <c r="AA84" t="s">
        <v>45</v>
      </c>
      <c r="AB84">
        <f t="shared" si="8"/>
        <v>5.3999999999999995</v>
      </c>
      <c r="AC84">
        <f t="shared" si="9"/>
        <v>5.85</v>
      </c>
      <c r="AD84">
        <f t="shared" si="10"/>
        <v>5.6</v>
      </c>
      <c r="AE84">
        <f t="shared" si="11"/>
        <v>6.05</v>
      </c>
      <c r="AF84">
        <f t="shared" si="12"/>
        <v>5.8</v>
      </c>
      <c r="AG84">
        <f t="shared" si="13"/>
        <v>6.25</v>
      </c>
      <c r="AH84">
        <v>6</v>
      </c>
      <c r="AI84">
        <v>6.45</v>
      </c>
      <c r="AK84" t="s">
        <v>45</v>
      </c>
      <c r="AL84">
        <v>5.2</v>
      </c>
      <c r="AM84">
        <v>5.5</v>
      </c>
      <c r="AN84">
        <v>5.75</v>
      </c>
      <c r="AO84">
        <v>6.1</v>
      </c>
      <c r="AP84">
        <v>5.8</v>
      </c>
      <c r="AQ84">
        <v>6.1</v>
      </c>
      <c r="AR84">
        <f t="shared" si="14"/>
        <v>5.8999999999999995</v>
      </c>
      <c r="AS84">
        <f t="shared" si="15"/>
        <v>6.1999999999999993</v>
      </c>
    </row>
    <row r="85" spans="5:45" hidden="1" x14ac:dyDescent="0.2">
      <c r="G85" t="s">
        <v>68</v>
      </c>
      <c r="H85">
        <v>4.5</v>
      </c>
      <c r="I85">
        <v>4.8499999999999996</v>
      </c>
      <c r="J85">
        <v>4.8</v>
      </c>
      <c r="K85">
        <v>5.15</v>
      </c>
      <c r="L85">
        <f t="shared" si="3"/>
        <v>5.05</v>
      </c>
      <c r="M85">
        <f t="shared" si="4"/>
        <v>5.4</v>
      </c>
      <c r="N85">
        <f t="shared" si="5"/>
        <v>5.25</v>
      </c>
      <c r="O85">
        <f t="shared" si="6"/>
        <v>5.6000000000000005</v>
      </c>
      <c r="Q85" t="s">
        <v>68</v>
      </c>
      <c r="R85">
        <v>4.5</v>
      </c>
      <c r="S85">
        <v>4.8</v>
      </c>
      <c r="T85">
        <v>4.9000000000000004</v>
      </c>
      <c r="U85">
        <v>5.25</v>
      </c>
      <c r="V85">
        <v>5.0999999999999996</v>
      </c>
      <c r="W85">
        <v>5.45</v>
      </c>
      <c r="X85">
        <f t="shared" si="7"/>
        <v>5.3</v>
      </c>
      <c r="Y85">
        <f t="shared" si="7"/>
        <v>5.65</v>
      </c>
      <c r="AA85" t="s">
        <v>68</v>
      </c>
      <c r="AB85">
        <f t="shared" si="8"/>
        <v>5.1499999999999995</v>
      </c>
      <c r="AC85">
        <f t="shared" si="9"/>
        <v>5.6</v>
      </c>
      <c r="AD85">
        <f t="shared" si="10"/>
        <v>5.35</v>
      </c>
      <c r="AE85">
        <f t="shared" si="11"/>
        <v>5.8</v>
      </c>
      <c r="AF85">
        <f t="shared" si="12"/>
        <v>5.55</v>
      </c>
      <c r="AG85">
        <f t="shared" si="13"/>
        <v>6</v>
      </c>
      <c r="AH85">
        <v>5.75</v>
      </c>
      <c r="AI85">
        <v>6.2</v>
      </c>
      <c r="AK85" t="s">
        <v>68</v>
      </c>
      <c r="AL85">
        <v>5.05</v>
      </c>
      <c r="AM85">
        <v>5.35</v>
      </c>
      <c r="AN85">
        <v>5.55</v>
      </c>
      <c r="AO85">
        <v>5.85</v>
      </c>
      <c r="AP85">
        <v>5.6</v>
      </c>
      <c r="AQ85">
        <v>5.9</v>
      </c>
      <c r="AR85">
        <f t="shared" si="14"/>
        <v>5.6999999999999993</v>
      </c>
      <c r="AS85">
        <f t="shared" si="15"/>
        <v>6</v>
      </c>
    </row>
    <row r="86" spans="5:45" hidden="1" x14ac:dyDescent="0.2">
      <c r="G86" t="s">
        <v>71</v>
      </c>
      <c r="H86" s="238">
        <v>236</v>
      </c>
      <c r="I86" s="238"/>
      <c r="J86" s="238">
        <v>229</v>
      </c>
      <c r="K86" s="238"/>
      <c r="L86" s="238">
        <v>251</v>
      </c>
      <c r="M86" s="238"/>
      <c r="N86" s="238">
        <v>274</v>
      </c>
      <c r="O86" s="238"/>
      <c r="R86" s="238">
        <v>194</v>
      </c>
      <c r="S86" s="238"/>
      <c r="T86" s="238">
        <v>257</v>
      </c>
      <c r="U86" s="238"/>
      <c r="V86" s="238">
        <v>280</v>
      </c>
      <c r="W86" s="238"/>
      <c r="X86" s="238">
        <v>263</v>
      </c>
      <c r="Y86" s="238"/>
      <c r="AB86" s="238">
        <v>255</v>
      </c>
      <c r="AC86" s="238"/>
      <c r="AD86" s="238">
        <v>295</v>
      </c>
      <c r="AE86" s="238"/>
      <c r="AF86" s="238">
        <v>318</v>
      </c>
      <c r="AG86" s="238"/>
      <c r="AH86" s="238">
        <v>341</v>
      </c>
      <c r="AI86" s="238"/>
      <c r="AL86" s="238">
        <v>255</v>
      </c>
      <c r="AM86" s="238"/>
      <c r="AN86" s="238">
        <v>295</v>
      </c>
      <c r="AO86" s="238"/>
      <c r="AP86" s="238">
        <v>318</v>
      </c>
      <c r="AQ86" s="238"/>
      <c r="AR86" s="238">
        <v>341</v>
      </c>
      <c r="AS86" s="238"/>
    </row>
    <row r="87" spans="5:45" hidden="1" x14ac:dyDescent="0.2">
      <c r="G87" t="s">
        <v>72</v>
      </c>
      <c r="H87" s="238">
        <v>74</v>
      </c>
      <c r="I87" s="238"/>
      <c r="J87" s="238">
        <v>81.5</v>
      </c>
      <c r="K87" s="238"/>
      <c r="L87" s="238">
        <v>91.5</v>
      </c>
      <c r="M87" s="238"/>
      <c r="N87" s="238">
        <v>101.5</v>
      </c>
      <c r="O87" s="238"/>
      <c r="R87" s="238">
        <v>68.5</v>
      </c>
      <c r="S87" s="238"/>
      <c r="T87" s="238">
        <v>72</v>
      </c>
      <c r="U87" s="238"/>
      <c r="V87" s="238">
        <v>82</v>
      </c>
      <c r="W87" s="238"/>
      <c r="X87" s="238">
        <v>98.5</v>
      </c>
      <c r="Y87" s="238"/>
      <c r="AB87" s="238">
        <v>84.5</v>
      </c>
      <c r="AC87" s="238"/>
      <c r="AD87" s="238">
        <v>88.5</v>
      </c>
      <c r="AE87" s="238"/>
      <c r="AF87" s="238">
        <v>96.5</v>
      </c>
      <c r="AG87" s="238"/>
      <c r="AH87" s="238">
        <v>106.5</v>
      </c>
      <c r="AI87" s="238"/>
      <c r="AL87" s="238">
        <v>84.5</v>
      </c>
      <c r="AM87" s="238"/>
      <c r="AN87" s="238">
        <v>88.5</v>
      </c>
      <c r="AO87" s="238"/>
      <c r="AP87" s="238">
        <v>96.5</v>
      </c>
      <c r="AQ87" s="238"/>
      <c r="AR87" s="238">
        <v>106.5</v>
      </c>
      <c r="AS87" s="238"/>
    </row>
    <row r="88" spans="5:45" hidden="1" x14ac:dyDescent="0.2">
      <c r="E88" t="s">
        <v>49</v>
      </c>
      <c r="G88" t="str">
        <f>+DIM!$AK$20&amp;"+"&amp;DIM!$S$14</f>
        <v>151+250</v>
      </c>
      <c r="H88" s="100">
        <f>+VLOOKUP($G$88,$G$62:$O$85,2,FALSE)</f>
        <v>5.8</v>
      </c>
      <c r="I88" s="100">
        <f>+VLOOKUP($G$88,$G$62:$O$85,3,FALSE)</f>
        <v>6.2</v>
      </c>
      <c r="J88" s="100">
        <f>+VLOOKUP($G$88,$G$62:$O$85,4,FALSE)</f>
        <v>6.05</v>
      </c>
      <c r="K88" s="100">
        <f>+VLOOKUP($G$88,$G$62:$O$85,5,FALSE)</f>
        <v>6.5</v>
      </c>
      <c r="L88" s="100">
        <f>+VLOOKUP($G$88,$G$62:$O$85,6,FALSE)</f>
        <v>6.3</v>
      </c>
      <c r="M88" s="100">
        <f>+VLOOKUP($G$88,$G$62:$O$85,7,FALSE)</f>
        <v>6.75</v>
      </c>
      <c r="N88" s="100">
        <f>+VLOOKUP($G$88,$G$62:$O$85,8,FALSE)</f>
        <v>6.5</v>
      </c>
      <c r="O88" s="100">
        <f>+VLOOKUP($G$88,$G$62:$O$85,9,FALSE)</f>
        <v>6.95</v>
      </c>
      <c r="Q88" t="str">
        <f>+DIM!$AK$20&amp;"+"&amp;DIM!$S$14</f>
        <v>151+250</v>
      </c>
      <c r="R88" s="100">
        <f>+VLOOKUP($Q$88,$Q$62:$Y$87,2,FALSE)</f>
        <v>5.85</v>
      </c>
      <c r="S88" s="100">
        <f>+VLOOKUP($Q$88,$Q$62:$Y$87,3,FALSE)</f>
        <v>6.25</v>
      </c>
      <c r="T88" s="100">
        <f>+VLOOKUP($Q$88,$Q$62:$Y$87,4,FALSE)</f>
        <v>6.3</v>
      </c>
      <c r="U88" s="100">
        <f>+VLOOKUP($Q$88,$Q$62:$Y$87,5,FALSE)</f>
        <v>6.8</v>
      </c>
      <c r="V88" s="100">
        <f>+VLOOKUP($Q$88,$Q$62:$Y$87,6,FALSE)</f>
        <v>6.5</v>
      </c>
      <c r="W88" s="100">
        <f>+VLOOKUP($Q$88,$Q$62:$Y$87,7,FALSE)</f>
        <v>7</v>
      </c>
      <c r="X88" s="100">
        <f>+VLOOKUP($Q$88,$Q$62:$Y$87,8,FALSE)</f>
        <v>6.7</v>
      </c>
      <c r="Y88" s="100">
        <f>+VLOOKUP($Q$88,$Q$62:$Y$87,9,FALSE)</f>
        <v>7.2</v>
      </c>
      <c r="AA88" t="str">
        <f>+DIM!$AK$20&amp;"+"&amp;DIM!$S$14</f>
        <v>151+250</v>
      </c>
      <c r="AB88" s="100">
        <f>+VLOOKUP($AA$88,$AA$62:$AI$85,2,FALSE)</f>
        <v>6.6</v>
      </c>
      <c r="AC88" s="100">
        <f>+VLOOKUP($AA$88,$AA$62:$AI$85,3,FALSE)</f>
        <v>7.1499999999999995</v>
      </c>
      <c r="AD88" s="100">
        <f>+VLOOKUP($AA$88,$AA$62:$AI$85,4,FALSE)</f>
        <v>6.8</v>
      </c>
      <c r="AE88" s="100">
        <f>+VLOOKUP($AA$88,$AA$62:$AI$85,5,FALSE)</f>
        <v>7.35</v>
      </c>
      <c r="AF88" s="100">
        <f>+VLOOKUP($AA$88,$AA$62:$AI$85,6,FALSE)</f>
        <v>7</v>
      </c>
      <c r="AG88" s="100">
        <f>+VLOOKUP($AA$88,$AA$62:$AI$85,7,FALSE)</f>
        <v>7.55</v>
      </c>
      <c r="AH88" s="100">
        <f>+VLOOKUP($AA$88,$AA$62:$AI$85,8,FALSE)</f>
        <v>7.2</v>
      </c>
      <c r="AI88" s="100">
        <f>+VLOOKUP($AA$88,$AA$62:$AI$85,9,FALSE)</f>
        <v>7.75</v>
      </c>
      <c r="AK88" t="str">
        <f>+DIM!$AK$20&amp;"+"&amp;DIM!$S$14</f>
        <v>151+250</v>
      </c>
      <c r="AL88" s="100">
        <f>+VLOOKUP($AK$88,$AK$62:$AS$85,2,FALSE)</f>
        <v>6.1</v>
      </c>
      <c r="AM88" s="100">
        <f>+VLOOKUP($AK$88,$AK$62:$AS$85,3,FALSE)</f>
        <v>6.4</v>
      </c>
      <c r="AN88" s="100">
        <f>+VLOOKUP($AK$88,$AK$62:$AS$85,4,FALSE)</f>
        <v>6.85</v>
      </c>
      <c r="AO88" s="100">
        <f>+VLOOKUP($AK$88,$AK$62:$AS$85,5,FALSE)</f>
        <v>7.25</v>
      </c>
      <c r="AP88" s="100">
        <f>+VLOOKUP($AK$88,$AK$62:$AS$85,6,FALSE)</f>
        <v>6.8</v>
      </c>
      <c r="AQ88" s="100">
        <f>+VLOOKUP($AK$88,$AK$62:$AS$85,7,FALSE)</f>
        <v>7.15</v>
      </c>
      <c r="AR88" s="100">
        <f>+VLOOKUP($AK$88,$AK$62:$AS$85,8,FALSE)</f>
        <v>6.8999999999999995</v>
      </c>
      <c r="AS88" s="100">
        <f>+VLOOKUP($AK$88,$AK$62:$AS$85,9,FALSE)</f>
        <v>7.25</v>
      </c>
    </row>
    <row r="89" spans="5:45" hidden="1" x14ac:dyDescent="0.2">
      <c r="F89" t="s">
        <v>47</v>
      </c>
      <c r="G89" t="str">
        <f>+DIM!AD15</f>
        <v>1C</v>
      </c>
      <c r="H89" s="237">
        <f>+IF(DIM!$AD$15=H61,H88,I88)</f>
        <v>6.2</v>
      </c>
      <c r="I89" s="237"/>
      <c r="J89" s="237">
        <f>+IF(DIM!$AD$15=J61,J88,K88)</f>
        <v>6.5</v>
      </c>
      <c r="K89" s="237"/>
      <c r="L89" s="237">
        <f>+IF(DIM!$AD$15=L61,L88,M88)</f>
        <v>6.75</v>
      </c>
      <c r="M89" s="237"/>
      <c r="N89" s="237">
        <f>+IF(DIM!$AD$15=N61,N88,O88)</f>
        <v>6.95</v>
      </c>
      <c r="O89" s="237"/>
      <c r="Q89" t="str">
        <f>+DIM!AD15</f>
        <v>1C</v>
      </c>
      <c r="R89" s="235">
        <f>+IF(DIM!$AD$15=plastivs!$H$15,plastivs!R88,plastivs!S88)</f>
        <v>6.25</v>
      </c>
      <c r="S89" s="236"/>
      <c r="T89" s="235">
        <f>+IF(DIM!$AD$15=plastivs!$H$15,plastivs!T88,plastivs!U88)</f>
        <v>6.8</v>
      </c>
      <c r="U89" s="236"/>
      <c r="V89" s="235">
        <f>+IF(DIM!$AD$15=plastivs!$H$15,plastivs!V88,plastivs!W88)</f>
        <v>7</v>
      </c>
      <c r="W89" s="236"/>
      <c r="X89" s="235">
        <f>+IF(DIM!$AD$15=plastivs!$H$15,plastivs!X88,plastivs!Y88)</f>
        <v>7.2</v>
      </c>
      <c r="Y89" s="236"/>
      <c r="AA89" t="str">
        <f>+DIM!AD15</f>
        <v>1C</v>
      </c>
      <c r="AB89" s="235">
        <f>+IF(DIM!$AD$15=plastivs!$H$15,plastivs!AB88,plastivs!AC88)</f>
        <v>7.1499999999999995</v>
      </c>
      <c r="AC89" s="236"/>
      <c r="AD89" s="235">
        <f>+IF(DIM!$AD$15=plastivs!$H$15,plastivs!AD88,plastivs!AE88)</f>
        <v>7.35</v>
      </c>
      <c r="AE89" s="236"/>
      <c r="AF89" s="235">
        <f>+IF(DIM!$AD$15=plastivs!$H$15,plastivs!AF88,plastivs!AG88)</f>
        <v>7.55</v>
      </c>
      <c r="AG89" s="236"/>
      <c r="AH89" s="235">
        <f>+IF(DIM!$AD$15=plastivs!$H$15,plastivs!AH88,plastivs!AI88)</f>
        <v>7.75</v>
      </c>
      <c r="AI89" s="236"/>
      <c r="AK89" t="str">
        <f>+DIM!AD15</f>
        <v>1C</v>
      </c>
      <c r="AL89" s="235">
        <f>+IF(DIM!$AD$15=plastivs!$H$15,plastivs!AL88,plastivs!AM88)</f>
        <v>6.4</v>
      </c>
      <c r="AM89" s="236"/>
      <c r="AN89" s="235">
        <f>+IF(DIM!$AD$15=plastivs!$H$15,plastivs!AN88,plastivs!AO88)</f>
        <v>7.25</v>
      </c>
      <c r="AO89" s="236"/>
      <c r="AP89" s="235">
        <f>+IF(DIM!$AD$15=plastivs!$H$15,plastivs!AP88,plastivs!AQ88)</f>
        <v>7.15</v>
      </c>
      <c r="AQ89" s="236"/>
      <c r="AR89" s="235">
        <f>+IF(DIM!$AD$15=plastivs!$H$15,plastivs!AR88,plastivs!AS88)</f>
        <v>7.25</v>
      </c>
      <c r="AS89" s="236"/>
    </row>
    <row r="90" spans="5:45" hidden="1" x14ac:dyDescent="0.2">
      <c r="F90" t="s">
        <v>48</v>
      </c>
      <c r="G90" s="100">
        <f>+DIM!S32</f>
        <v>5</v>
      </c>
      <c r="K90" s="102">
        <f>+HLOOKUP(G90,H60:O89,30,FALSE)</f>
        <v>6.2</v>
      </c>
      <c r="Q90" s="100">
        <f>+DIM!S32</f>
        <v>5</v>
      </c>
      <c r="U90" s="102">
        <f>+HLOOKUP(Q90,R60:Y89,30,FALSE)</f>
        <v>6.25</v>
      </c>
      <c r="AA90" s="100">
        <f>+DIM!S32</f>
        <v>5</v>
      </c>
      <c r="AE90" s="102">
        <f>+HLOOKUP(AA90,AB60:AI89,30,FALSE)</f>
        <v>7.1499999999999995</v>
      </c>
      <c r="AK90" s="100">
        <f>+DIM!S32</f>
        <v>5</v>
      </c>
      <c r="AO90" s="102">
        <f>+HLOOKUP(AK90,AL60:AS89,30,FALSE)</f>
        <v>6.4</v>
      </c>
    </row>
    <row r="91" spans="5:45" hidden="1" x14ac:dyDescent="0.2">
      <c r="E91">
        <f>+DIM!Q32</f>
        <v>12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</row>
    <row r="92" spans="5:45" hidden="1" x14ac:dyDescent="0.2">
      <c r="F92" t="s">
        <v>66</v>
      </c>
      <c r="G92" t="str">
        <f>+G46</f>
        <v>sans etai</v>
      </c>
      <c r="K92" s="98">
        <f>+HLOOKUP(G90,H60:O86,27,FALSE)</f>
        <v>236</v>
      </c>
      <c r="U92" s="98">
        <f>+HLOOKUP(Q90,R60:Y86,27,FALSE)</f>
        <v>194</v>
      </c>
      <c r="AE92" s="98">
        <f>+HLOOKUP(AA90,AB60:AI86,27,FALSE)</f>
        <v>255</v>
      </c>
      <c r="AO92" s="98">
        <f>+HLOOKUP(AK90,AL60:AS86,27,FALSE)</f>
        <v>255</v>
      </c>
    </row>
    <row r="93" spans="5:45" hidden="1" x14ac:dyDescent="0.2">
      <c r="F93">
        <v>12</v>
      </c>
      <c r="G93">
        <f>+IF($G$46="avec etai",K90,U90)</f>
        <v>6.25</v>
      </c>
      <c r="H93">
        <f>+IF($G$46="avec etai",K92,U92)</f>
        <v>194</v>
      </c>
      <c r="I93">
        <f>+IF($G$46="avec etai",K93,U93)</f>
        <v>68.5</v>
      </c>
      <c r="J93">
        <f>+IF($G$46="avec etai",K94,U94)</f>
        <v>27.79</v>
      </c>
      <c r="K93" s="98">
        <f>+HLOOKUP(G90,H60:O87,28,FALSE)</f>
        <v>74</v>
      </c>
      <c r="U93" s="98">
        <f>+HLOOKUP(Q90,R60:Y87,28,FALSE)</f>
        <v>68.5</v>
      </c>
      <c r="AE93" s="98">
        <f>+HLOOKUP(AA90,AB60:AI87,28,FALSE)</f>
        <v>84.5</v>
      </c>
      <c r="AO93" s="98">
        <f>+HLOOKUP(AK90,AL60:AS87,28,FALSE)</f>
        <v>84.5</v>
      </c>
    </row>
    <row r="94" spans="5:45" hidden="1" x14ac:dyDescent="0.2">
      <c r="F94">
        <v>15</v>
      </c>
      <c r="G94">
        <f>+IF($G$46="avec etai",AE90,AO90)</f>
        <v>6.4</v>
      </c>
      <c r="H94">
        <f>+IF($G$46="avec etai",AE92,AO92)</f>
        <v>255</v>
      </c>
      <c r="I94">
        <f>+IF($G$46="avec etai",AE93,AO93)</f>
        <v>84.5</v>
      </c>
      <c r="J94">
        <f>+IF($G$46="avec etai",AE94,AO94)</f>
        <v>29.63</v>
      </c>
      <c r="K94" s="98">
        <f>+HLOOKUP(K91,H101:O103,3,FALSE)</f>
        <v>26.99</v>
      </c>
      <c r="U94" s="98">
        <f>+HLOOKUP(U91,R101:Y103,3,FALSE)</f>
        <v>27.79</v>
      </c>
      <c r="AE94" s="98">
        <f>+HLOOKUP(AE91,AB101:AI103,3,FALSE)</f>
        <v>29.63</v>
      </c>
      <c r="AO94" s="98">
        <f>+HLOOKUP(AO91,AL101:AS103,3,FALSE)</f>
        <v>29.63</v>
      </c>
    </row>
    <row r="95" spans="5:45" ht="19.5" hidden="1" x14ac:dyDescent="0.35">
      <c r="F95">
        <v>20</v>
      </c>
      <c r="G95" t="s">
        <v>100</v>
      </c>
      <c r="K95" s="97">
        <v>12</v>
      </c>
      <c r="L95" s="97" t="s">
        <v>87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</row>
    <row r="96" spans="5:45" hidden="1" x14ac:dyDescent="0.2">
      <c r="E96" t="s">
        <v>70</v>
      </c>
      <c r="F96" t="s">
        <v>74</v>
      </c>
      <c r="G96">
        <f>IF($E$91&gt;15,"--",+VLOOKUP(DIM!Q32,plastivs!F93:I95,2,FALSE))</f>
        <v>6.25</v>
      </c>
      <c r="K96" s="98" t="s">
        <v>78</v>
      </c>
      <c r="U96" s="98" t="s">
        <v>83</v>
      </c>
      <c r="AE96" s="98" t="s">
        <v>84</v>
      </c>
      <c r="AO96" s="98" t="s">
        <v>79</v>
      </c>
    </row>
    <row r="97" spans="4:65" hidden="1" x14ac:dyDescent="0.2">
      <c r="D97" s="98" t="s">
        <v>301</v>
      </c>
      <c r="F97" t="s">
        <v>75</v>
      </c>
      <c r="G97">
        <f>IF($E$91&gt;15,0,+VLOOKUP(DIM!Q32,plastivs!F93:I95,3,FALSE))</f>
        <v>194</v>
      </c>
    </row>
    <row r="98" spans="4:65" hidden="1" x14ac:dyDescent="0.2">
      <c r="D98" s="98" t="s">
        <v>129</v>
      </c>
      <c r="F98" t="s">
        <v>72</v>
      </c>
      <c r="G98">
        <f>IF($E$91&gt;15,0,+VLOOKUP(DIM!Q32,plastivs!F93:I95,4,FALSE))</f>
        <v>68.5</v>
      </c>
    </row>
    <row r="99" spans="4:65" hidden="1" x14ac:dyDescent="0.2">
      <c r="F99" t="s">
        <v>274</v>
      </c>
      <c r="G99">
        <f>IF($E$91&gt;15,0,+VLOOKUP(DIM!Q32,F93:J95,5,FALSE))</f>
        <v>27.79</v>
      </c>
    </row>
    <row r="100" spans="4:65" hidden="1" x14ac:dyDescent="0.2"/>
    <row r="101" spans="4:65" hidden="1" x14ac:dyDescent="0.2">
      <c r="G101" s="98" t="s">
        <v>129</v>
      </c>
      <c r="H101" s="238" t="s">
        <v>302</v>
      </c>
      <c r="I101" s="238"/>
      <c r="J101" s="238" t="s">
        <v>303</v>
      </c>
      <c r="K101" s="238"/>
      <c r="L101" s="238" t="s">
        <v>304</v>
      </c>
      <c r="M101" s="238"/>
      <c r="N101" s="238" t="s">
        <v>305</v>
      </c>
      <c r="O101" s="238"/>
      <c r="Q101" t="s">
        <v>129</v>
      </c>
      <c r="R101" s="238" t="s">
        <v>302</v>
      </c>
      <c r="S101" s="238"/>
      <c r="T101" s="238" t="s">
        <v>303</v>
      </c>
      <c r="U101" s="238"/>
      <c r="V101" s="238" t="s">
        <v>304</v>
      </c>
      <c r="W101" s="238"/>
      <c r="X101" s="238" t="s">
        <v>305</v>
      </c>
      <c r="Y101" s="238"/>
      <c r="AA101" t="s">
        <v>129</v>
      </c>
      <c r="AB101" s="238" t="s">
        <v>306</v>
      </c>
      <c r="AC101" s="238"/>
      <c r="AD101" s="238" t="s">
        <v>307</v>
      </c>
      <c r="AE101" s="238"/>
      <c r="AF101" s="238" t="s">
        <v>308</v>
      </c>
      <c r="AG101" s="238"/>
      <c r="AH101" s="238" t="s">
        <v>309</v>
      </c>
      <c r="AI101" s="238"/>
      <c r="AK101" t="s">
        <v>129</v>
      </c>
      <c r="AL101" s="238" t="s">
        <v>306</v>
      </c>
      <c r="AM101" s="238"/>
      <c r="AN101" s="238" t="s">
        <v>307</v>
      </c>
      <c r="AO101" s="238"/>
      <c r="AP101" s="238" t="s">
        <v>308</v>
      </c>
      <c r="AQ101" s="238"/>
      <c r="AR101" s="238" t="s">
        <v>309</v>
      </c>
      <c r="AS101" s="238"/>
      <c r="AU101" t="s">
        <v>129</v>
      </c>
      <c r="AV101" s="238" t="s">
        <v>119</v>
      </c>
      <c r="AW101" s="238"/>
      <c r="AX101" s="238" t="s">
        <v>120</v>
      </c>
      <c r="AY101" s="238"/>
      <c r="AZ101" s="238" t="s">
        <v>121</v>
      </c>
      <c r="BA101" s="238"/>
      <c r="BB101" s="238" t="s">
        <v>122</v>
      </c>
      <c r="BC101" s="238"/>
      <c r="BE101" t="s">
        <v>129</v>
      </c>
      <c r="BF101" s="238" t="s">
        <v>119</v>
      </c>
      <c r="BG101" s="238"/>
      <c r="BH101" s="238" t="s">
        <v>120</v>
      </c>
      <c r="BI101" s="238"/>
      <c r="BJ101" s="238" t="s">
        <v>121</v>
      </c>
      <c r="BK101" s="238"/>
      <c r="BL101" s="238" t="s">
        <v>122</v>
      </c>
      <c r="BM101" s="238"/>
    </row>
    <row r="102" spans="4:65" hidden="1" x14ac:dyDescent="0.2">
      <c r="F102" s="100">
        <f>+DIM!S10-0.01</f>
        <v>3.99</v>
      </c>
      <c r="H102" s="238">
        <f>+IF(H89&gt;$F$102,1,0)</f>
        <v>1</v>
      </c>
      <c r="I102" s="238"/>
      <c r="J102" s="238">
        <f t="shared" ref="J102" si="16">+IF(J89&gt;$F$102,1,0)</f>
        <v>1</v>
      </c>
      <c r="K102" s="238"/>
      <c r="L102" s="238">
        <f t="shared" ref="L102" si="17">+IF(L89&gt;$F$102,1,0)</f>
        <v>1</v>
      </c>
      <c r="M102" s="238"/>
      <c r="N102" s="238">
        <f t="shared" ref="N102" si="18">+IF(N89&gt;$F$102,1,0)</f>
        <v>1</v>
      </c>
      <c r="O102" s="238"/>
      <c r="R102" s="238">
        <f t="shared" ref="R102:X102" si="19">+IF(R89&gt;$F$102,1,0)</f>
        <v>1</v>
      </c>
      <c r="S102" s="238"/>
      <c r="T102" s="238">
        <f t="shared" si="19"/>
        <v>1</v>
      </c>
      <c r="U102" s="238"/>
      <c r="V102" s="238">
        <f t="shared" si="19"/>
        <v>1</v>
      </c>
      <c r="W102" s="238"/>
      <c r="X102" s="238">
        <f t="shared" si="19"/>
        <v>1</v>
      </c>
      <c r="Y102" s="238"/>
      <c r="AB102" s="238">
        <f t="shared" ref="AB102:AH102" si="20">+IF(AB89&gt;$F$102,1,0)</f>
        <v>1</v>
      </c>
      <c r="AC102" s="238"/>
      <c r="AD102" s="238">
        <f t="shared" si="20"/>
        <v>1</v>
      </c>
      <c r="AE102" s="238"/>
      <c r="AF102" s="238">
        <f t="shared" si="20"/>
        <v>1</v>
      </c>
      <c r="AG102" s="238"/>
      <c r="AH102" s="238">
        <f t="shared" si="20"/>
        <v>1</v>
      </c>
      <c r="AI102" s="238"/>
      <c r="AL102" s="238">
        <f t="shared" ref="AL102:AR102" si="21">+IF(AL89&gt;$F$102,1,0)</f>
        <v>1</v>
      </c>
      <c r="AM102" s="238"/>
      <c r="AN102" s="238">
        <f t="shared" si="21"/>
        <v>1</v>
      </c>
      <c r="AO102" s="238"/>
      <c r="AP102" s="238">
        <f t="shared" si="21"/>
        <v>1</v>
      </c>
      <c r="AQ102" s="238"/>
      <c r="AR102" s="238">
        <f t="shared" si="21"/>
        <v>1</v>
      </c>
      <c r="AS102" s="238"/>
      <c r="AV102" s="238">
        <f t="shared" ref="AV102:BB102" si="22">+IF(AV89&gt;$F$102,1,0)</f>
        <v>0</v>
      </c>
      <c r="AW102" s="238"/>
      <c r="AX102" s="238">
        <f t="shared" si="22"/>
        <v>0</v>
      </c>
      <c r="AY102" s="238"/>
      <c r="AZ102" s="238">
        <f t="shared" si="22"/>
        <v>0</v>
      </c>
      <c r="BA102" s="238"/>
      <c r="BB102" s="238">
        <f t="shared" si="22"/>
        <v>0</v>
      </c>
      <c r="BC102" s="238"/>
      <c r="BF102" s="238">
        <f t="shared" ref="BF102:BL102" si="23">+IF(BF89&gt;$F$102,1,0)</f>
        <v>0</v>
      </c>
      <c r="BG102" s="238"/>
      <c r="BH102" s="238">
        <f t="shared" si="23"/>
        <v>0</v>
      </c>
      <c r="BI102" s="238"/>
      <c r="BJ102" s="238">
        <f t="shared" si="23"/>
        <v>0</v>
      </c>
      <c r="BK102" s="238"/>
      <c r="BL102" s="238">
        <f t="shared" si="23"/>
        <v>0</v>
      </c>
      <c r="BM102" s="238"/>
    </row>
    <row r="103" spans="4:65" hidden="1" x14ac:dyDescent="0.2">
      <c r="F103" s="100"/>
      <c r="H103">
        <v>26.99</v>
      </c>
      <c r="J103">
        <f>1.97+H103</f>
        <v>28.959999999999997</v>
      </c>
      <c r="L103">
        <f>3.94+H103</f>
        <v>30.93</v>
      </c>
      <c r="N103">
        <f>5.91+H103</f>
        <v>32.9</v>
      </c>
      <c r="O103" s="49"/>
      <c r="R103">
        <v>27.79</v>
      </c>
      <c r="T103">
        <f>1.97+R103</f>
        <v>29.759999999999998</v>
      </c>
      <c r="V103">
        <f>3.94+R103</f>
        <v>31.73</v>
      </c>
      <c r="X103">
        <f>5.91+R103</f>
        <v>33.700000000000003</v>
      </c>
      <c r="Y103" s="49"/>
      <c r="AB103">
        <v>29.63</v>
      </c>
      <c r="AD103">
        <f>1.97+AB103</f>
        <v>31.599999999999998</v>
      </c>
      <c r="AF103">
        <f>3.94+AB103</f>
        <v>33.57</v>
      </c>
      <c r="AH103">
        <f>5.91+AB103</f>
        <v>35.54</v>
      </c>
      <c r="AI103" s="49"/>
      <c r="AL103">
        <v>29.63</v>
      </c>
      <c r="AN103">
        <f>1.97+AL103</f>
        <v>31.599999999999998</v>
      </c>
      <c r="AP103">
        <f>3.94+AL103</f>
        <v>33.57</v>
      </c>
      <c r="AR103">
        <f>5.91+AL103</f>
        <v>35.54</v>
      </c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4:65" hidden="1" x14ac:dyDescent="0.2">
      <c r="F104" s="100"/>
      <c r="H104" s="49"/>
      <c r="J104" t="s">
        <v>123</v>
      </c>
      <c r="L104" t="s">
        <v>129</v>
      </c>
      <c r="T104" t="s">
        <v>124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4:65" hidden="1" x14ac:dyDescent="0.2">
      <c r="F105" s="100"/>
      <c r="H105" s="49"/>
      <c r="K105" t="str">
        <f>+IF(H102=1,H101,IF(J102=1,J101,IF(L102=1,L101,IF(N102=1,N101,0))))</f>
        <v>12+5 JUM</v>
      </c>
      <c r="L105" t="str">
        <f>+AE105</f>
        <v>15+5 JUM</v>
      </c>
      <c r="M105">
        <f>+AY105</f>
        <v>0</v>
      </c>
      <c r="U105" t="str">
        <f>+IF(R102=1,R101,IF(T102=1,T101,IF(V102=1,V101,IF(X102=1,X101,0))))</f>
        <v>12+5 JUM</v>
      </c>
      <c r="V105" t="str">
        <f>+AO105</f>
        <v>15+5 JUM</v>
      </c>
      <c r="W105">
        <f>+AY105</f>
        <v>0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>
        <f>+IF(AV102=1,AV101,IF(AX102=1,AX101,IF(AZ102=1,AZ101,IF(BB102=1,BB101,0))))</f>
        <v>0</v>
      </c>
      <c r="AZ105" s="49"/>
      <c r="BA105" s="49"/>
      <c r="BB105" s="49"/>
      <c r="BC105" s="49"/>
      <c r="BF105" s="49"/>
      <c r="BG105" s="49"/>
      <c r="BH105" s="49"/>
      <c r="BI105">
        <f>+IF(BF102=1,BF101,IF(BH102=1,BH101,IF(BJ102=1,BJ101,IF(BL102=1,BL101,0))))</f>
        <v>0</v>
      </c>
      <c r="BJ105" s="49"/>
      <c r="BK105" s="49"/>
      <c r="BL105" s="49"/>
      <c r="BM105" s="49"/>
    </row>
    <row r="106" spans="4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4:65" hidden="1" x14ac:dyDescent="0.2">
      <c r="F107" s="98" t="s">
        <v>314</v>
      </c>
      <c r="H107" s="49"/>
      <c r="I107" t="s">
        <v>75</v>
      </c>
      <c r="J107" s="98">
        <f>+IF(K105&gt;0,K107,IF(L105&gt;0,L107,IF(M105&gt;0,M107,0)))</f>
        <v>236</v>
      </c>
      <c r="K107">
        <f>+HLOOKUP(J106,H59:O88,28,FALSE)</f>
        <v>236</v>
      </c>
      <c r="L107">
        <f>+HLOOKUP(L105,AB59:AI88,28,FALSE)</f>
        <v>255</v>
      </c>
      <c r="M107" t="e">
        <f>+HLOOKUP(M105,AV59:BC88,28,FALSE)</f>
        <v>#N/A</v>
      </c>
      <c r="T107" s="98">
        <f>+IF(U105&gt;0,U107,IF(V105&gt;0,V107,IF(W105&gt;0,W107,0)))</f>
        <v>194</v>
      </c>
      <c r="U107">
        <f>+HLOOKUP(U105,R59:Y88,28,FALSE)</f>
        <v>194</v>
      </c>
      <c r="V107">
        <f>+HLOOKUP(V105,AL59:AS88,28,FALSE)</f>
        <v>255</v>
      </c>
      <c r="W107" t="e">
        <f>+HLOOKUP(W105,BF59:BM88,25,FALSE)</f>
        <v>#N/A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4:65" hidden="1" x14ac:dyDescent="0.2">
      <c r="F108" s="100"/>
      <c r="H108" s="49"/>
      <c r="I108" t="s">
        <v>72</v>
      </c>
      <c r="J108" s="98">
        <f>+IF(K105&gt;0,K108,IF(L105&gt;0,L108,IF(M105&gt;0,M108,0)))</f>
        <v>74</v>
      </c>
      <c r="K108">
        <f>+HLOOKUP(J106,H59:O88,29,FALSE)</f>
        <v>74</v>
      </c>
      <c r="L108">
        <f>+HLOOKUP(L105,AB59:AI88,29,FALSE)</f>
        <v>84.5</v>
      </c>
      <c r="M108" t="e">
        <f>+HLOOKUP(M105,AV59:BC88,26,FALSE)</f>
        <v>#N/A</v>
      </c>
      <c r="T108" s="98">
        <f>+IF(U105&gt;0,U108,IF(V105&gt;0,V108,IF(W105&gt;0,W108,0)))</f>
        <v>68.5</v>
      </c>
      <c r="U108">
        <f>+HLOOKUP(U105,R59:Y88,29,FALSE)</f>
        <v>68.5</v>
      </c>
      <c r="V108">
        <f>+HLOOKUP(V105,AL59:AS88,29,FALSE)</f>
        <v>84.5</v>
      </c>
      <c r="W108" t="e">
        <f>+HLOOKUP(W105,BF59:BM88,26,FALSE)</f>
        <v>#N/A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4:65" hidden="1" x14ac:dyDescent="0.2">
      <c r="F109" s="100"/>
      <c r="H109" s="49"/>
      <c r="I109" s="49" t="s">
        <v>275</v>
      </c>
      <c r="J109" s="98">
        <f>+IF(K105&gt;0,K109,IF(L105&gt;0,L109,IF(M105&gt;0,M109,0)))</f>
        <v>26.99</v>
      </c>
      <c r="K109">
        <f>+HLOOKUP(K105,H101:O103,3,FALSE)</f>
        <v>26.99</v>
      </c>
      <c r="L109">
        <f>+HLOOKUP(L105,AB101:AI103,3,FALSE)</f>
        <v>29.63</v>
      </c>
      <c r="M109" s="49"/>
      <c r="N109" s="49"/>
      <c r="O109" s="49"/>
      <c r="R109" s="49"/>
      <c r="S109" s="49"/>
      <c r="T109" s="98">
        <f>+IF(U105&gt;0,U109,IF(V105&gt;0,V109,IF(W105&gt;0,W109,0)))</f>
        <v>27.79</v>
      </c>
      <c r="U109">
        <f>+HLOOKUP(U105,R101:Y103,3,FALSE)</f>
        <v>27.79</v>
      </c>
      <c r="V109">
        <f>+HLOOKUP(V105,AL101:AS103,3,FALSE)</f>
        <v>29.63</v>
      </c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4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98" t="s">
        <v>84</v>
      </c>
      <c r="AO110" s="98" t="s">
        <v>79</v>
      </c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4:65" hidden="1" x14ac:dyDescent="0.2">
      <c r="J111" s="98"/>
      <c r="K111" s="98" t="s">
        <v>84</v>
      </c>
      <c r="U111" s="98" t="s">
        <v>79</v>
      </c>
    </row>
    <row r="112" spans="4:65" hidden="1" x14ac:dyDescent="0.2">
      <c r="J112" s="98"/>
    </row>
    <row r="113" spans="6:65" hidden="1" x14ac:dyDescent="0.2">
      <c r="G113" s="98" t="s">
        <v>88</v>
      </c>
      <c r="H113" s="238" t="s">
        <v>111</v>
      </c>
      <c r="I113" s="238"/>
      <c r="J113" s="238" t="s">
        <v>112</v>
      </c>
      <c r="K113" s="238"/>
      <c r="L113" s="238" t="s">
        <v>113</v>
      </c>
      <c r="M113" s="238"/>
      <c r="N113" s="238" t="s">
        <v>114</v>
      </c>
      <c r="O113" s="238"/>
      <c r="Q113" t="s">
        <v>88</v>
      </c>
      <c r="R113" s="238" t="s">
        <v>111</v>
      </c>
      <c r="S113" s="238"/>
      <c r="T113" s="238" t="s">
        <v>112</v>
      </c>
      <c r="U113" s="238"/>
      <c r="V113" s="238" t="s">
        <v>113</v>
      </c>
      <c r="W113" s="238"/>
      <c r="X113" s="238" t="s">
        <v>114</v>
      </c>
      <c r="Y113" s="238"/>
      <c r="AA113" t="s">
        <v>88</v>
      </c>
      <c r="AB113" s="238" t="s">
        <v>115</v>
      </c>
      <c r="AC113" s="238"/>
      <c r="AD113" s="238" t="s">
        <v>116</v>
      </c>
      <c r="AE113" s="238"/>
      <c r="AF113" s="238" t="s">
        <v>117</v>
      </c>
      <c r="AG113" s="238"/>
      <c r="AH113" s="238" t="s">
        <v>118</v>
      </c>
      <c r="AI113" s="238"/>
      <c r="AK113" t="s">
        <v>88</v>
      </c>
      <c r="AL113" s="238" t="s">
        <v>115</v>
      </c>
      <c r="AM113" s="238"/>
      <c r="AN113" s="238" t="s">
        <v>116</v>
      </c>
      <c r="AO113" s="238"/>
      <c r="AP113" s="238" t="s">
        <v>117</v>
      </c>
      <c r="AQ113" s="238"/>
      <c r="AR113" s="238" t="s">
        <v>118</v>
      </c>
      <c r="AS113" s="238"/>
      <c r="AU113" t="s">
        <v>88</v>
      </c>
      <c r="AV113" s="238" t="s">
        <v>119</v>
      </c>
      <c r="AW113" s="238"/>
      <c r="AX113" s="238" t="s">
        <v>120</v>
      </c>
      <c r="AY113" s="238"/>
      <c r="AZ113" s="238" t="s">
        <v>121</v>
      </c>
      <c r="BA113" s="238"/>
      <c r="BB113" s="238" t="s">
        <v>122</v>
      </c>
      <c r="BC113" s="238"/>
      <c r="BE113" t="s">
        <v>88</v>
      </c>
      <c r="BF113" s="238" t="s">
        <v>119</v>
      </c>
      <c r="BG113" s="238"/>
      <c r="BH113" s="238" t="s">
        <v>120</v>
      </c>
      <c r="BI113" s="238"/>
      <c r="BJ113" s="238" t="s">
        <v>121</v>
      </c>
      <c r="BK113" s="238"/>
      <c r="BL113" s="238" t="s">
        <v>122</v>
      </c>
      <c r="BM113" s="238"/>
    </row>
    <row r="114" spans="6:65" hidden="1" x14ac:dyDescent="0.2">
      <c r="F114" s="100"/>
      <c r="H114" s="238">
        <f>+IF(H43&gt;$F$102,1,0)</f>
        <v>1</v>
      </c>
      <c r="I114" s="238"/>
      <c r="J114" s="238">
        <f t="shared" ref="J114" si="24">+IF(J43&gt;$F$102,1,0)</f>
        <v>1</v>
      </c>
      <c r="K114" s="238"/>
      <c r="L114" s="238">
        <f t="shared" ref="L114" si="25">+IF(L43&gt;$F$102,1,0)</f>
        <v>1</v>
      </c>
      <c r="M114" s="238"/>
      <c r="N114" s="238">
        <f t="shared" ref="N114" si="26">+IF(N43&gt;$F$102,1,0)</f>
        <v>1</v>
      </c>
      <c r="O114" s="238"/>
      <c r="R114" s="238">
        <f>+IF(R43&gt;$F$102,1,0)</f>
        <v>1</v>
      </c>
      <c r="S114" s="238"/>
      <c r="T114" s="238">
        <f t="shared" ref="T114" si="27">+IF(T43&gt;$F$102,1,0)</f>
        <v>1</v>
      </c>
      <c r="U114" s="238"/>
      <c r="V114" s="238">
        <f t="shared" ref="V114" si="28">+IF(V43&gt;$F$102,1,0)</f>
        <v>1</v>
      </c>
      <c r="W114" s="238"/>
      <c r="X114" s="238">
        <f t="shared" ref="X114" si="29">+IF(X43&gt;$F$102,1,0)</f>
        <v>1</v>
      </c>
      <c r="Y114" s="238"/>
      <c r="AB114" s="238">
        <f>+IF(AB43&gt;$F$102,1,0)</f>
        <v>1</v>
      </c>
      <c r="AC114" s="238"/>
      <c r="AD114" s="238">
        <f t="shared" ref="AD114" si="30">+IF(AD43&gt;$F$102,1,0)</f>
        <v>1</v>
      </c>
      <c r="AE114" s="238"/>
      <c r="AF114" s="238">
        <f t="shared" ref="AF114" si="31">+IF(AF43&gt;$F$102,1,0)</f>
        <v>1</v>
      </c>
      <c r="AG114" s="238"/>
      <c r="AH114" s="238">
        <f t="shared" ref="AH114" si="32">+IF(AH43&gt;$F$102,1,0)</f>
        <v>1</v>
      </c>
      <c r="AI114" s="238"/>
      <c r="AL114" s="238">
        <f>+IF(AL43&gt;$F$102,1,0)</f>
        <v>1</v>
      </c>
      <c r="AM114" s="238"/>
      <c r="AN114" s="238">
        <f t="shared" ref="AN114" si="33">+IF(AN43&gt;$F$102,1,0)</f>
        <v>1</v>
      </c>
      <c r="AO114" s="238"/>
      <c r="AP114" s="238">
        <f t="shared" ref="AP114" si="34">+IF(AP43&gt;$F$102,1,0)</f>
        <v>1</v>
      </c>
      <c r="AQ114" s="238"/>
      <c r="AR114" s="238">
        <f t="shared" ref="AR114" si="35">+IF(AR43&gt;$F$102,1,0)</f>
        <v>1</v>
      </c>
      <c r="AS114" s="238"/>
      <c r="AV114" s="238">
        <f>+IF(AV43&gt;$F$102,1,0)</f>
        <v>0</v>
      </c>
      <c r="AW114" s="238"/>
      <c r="AX114" s="238">
        <f t="shared" ref="AX114" si="36">+IF(AX43&gt;$F$102,1,0)</f>
        <v>0</v>
      </c>
      <c r="AY114" s="238"/>
      <c r="AZ114" s="238">
        <f t="shared" ref="AZ114" si="37">+IF(AZ43&gt;$F$102,1,0)</f>
        <v>0</v>
      </c>
      <c r="BA114" s="238"/>
      <c r="BB114" s="238">
        <f t="shared" ref="BB114" si="38">+IF(BB43&gt;$F$102,1,0)</f>
        <v>0</v>
      </c>
      <c r="BC114" s="238"/>
      <c r="BF114" s="238">
        <f>+IF(BF43&gt;$F$102,1,0)</f>
        <v>0</v>
      </c>
      <c r="BG114" s="238"/>
      <c r="BH114" s="238">
        <f t="shared" ref="BH114" si="39">+IF(BH43&gt;$F$102,1,0)</f>
        <v>0</v>
      </c>
      <c r="BI114" s="238"/>
      <c r="BJ114" s="238">
        <f t="shared" ref="BJ114" si="40">+IF(BJ43&gt;$F$102,1,0)</f>
        <v>0</v>
      </c>
      <c r="BK114" s="238"/>
      <c r="BL114" s="238">
        <f t="shared" ref="BL114" si="41">+IF(BL43&gt;$F$102,1,0)</f>
        <v>0</v>
      </c>
      <c r="BM114" s="238"/>
    </row>
    <row r="115" spans="6:65" hidden="1" x14ac:dyDescent="0.2">
      <c r="H115">
        <v>23.1</v>
      </c>
      <c r="J115">
        <f>1.97+H115</f>
        <v>25.07</v>
      </c>
      <c r="L115">
        <f>3.94+H115</f>
        <v>27.040000000000003</v>
      </c>
      <c r="N115">
        <f>5.91+H115</f>
        <v>29.01</v>
      </c>
      <c r="R115">
        <v>23.27</v>
      </c>
      <c r="T115">
        <f>1.97+R115</f>
        <v>25.24</v>
      </c>
      <c r="V115">
        <f>3.94+R115</f>
        <v>27.21</v>
      </c>
      <c r="X115">
        <f>5.91+R115</f>
        <v>29.18</v>
      </c>
      <c r="AB115">
        <v>25.74</v>
      </c>
      <c r="AD115">
        <f>1.97+AB115</f>
        <v>27.709999999999997</v>
      </c>
      <c r="AF115">
        <f>3.94+AB115</f>
        <v>29.68</v>
      </c>
      <c r="AH115">
        <f>5.91+AB115</f>
        <v>31.65</v>
      </c>
      <c r="AL115">
        <v>25.74</v>
      </c>
      <c r="AN115">
        <f>1.97+AL115</f>
        <v>27.709999999999997</v>
      </c>
      <c r="AP115">
        <f>3.94+AL115</f>
        <v>29.68</v>
      </c>
      <c r="AR115">
        <f>5.91+AL115</f>
        <v>31.65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>
        <f>+AY117</f>
        <v>0</v>
      </c>
      <c r="U117" t="str">
        <f>+IF(R114=1,R113,IF(T114=1,T113,IF(V114=1,V113,IF(X114=1,X113,0))))</f>
        <v>12+5</v>
      </c>
      <c r="V117" t="str">
        <f>+AO117</f>
        <v>15+5</v>
      </c>
      <c r="W117">
        <f>+BI117</f>
        <v>0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>
        <f>+IF(AV114=1,AV113,IF(AX114=1,AX113,IF(AZ114=1,AZ113,IF(BB114=1,BB113,0))))</f>
        <v>0</v>
      </c>
      <c r="BI117">
        <f>+IF(BF114=1,BF113,IF(BH114=1,BH113,IF(BJ114=1,BJ113,IF(BL114=1,BL113,0))))</f>
        <v>0</v>
      </c>
    </row>
    <row r="118" spans="6:65" hidden="1" x14ac:dyDescent="0.2">
      <c r="J118" s="98" t="str">
        <f>+IF(K117&gt;0,K117,IF(L117&gt;0,L117,IF(M117&gt;0,M117,"à jumeler")))</f>
        <v>12+5</v>
      </c>
      <c r="T118" s="98" t="str">
        <f>+IF(U117&gt;0,U117,IF(V117&gt;0,V117,IF(W117&gt;0,W117,"à jumeler")))</f>
        <v>12+5</v>
      </c>
    </row>
    <row r="119" spans="6:65" hidden="1" x14ac:dyDescent="0.2">
      <c r="I119" t="s">
        <v>75</v>
      </c>
      <c r="J119" s="98">
        <f>+IF(K117&gt;0,K119,IF(L117&gt;0,L119,IF(M117&gt;0,M119,0)))</f>
        <v>205</v>
      </c>
      <c r="K119">
        <f>+HLOOKUP(J118,H13:O42,28,FALSE)</f>
        <v>205</v>
      </c>
      <c r="L119">
        <f>+HLOOKUP(L117,AB13:AI41,28,FALSE)</f>
        <v>238</v>
      </c>
      <c r="M119" t="e">
        <f>+HLOOKUP(M117,AV13:BC41,25,FALSE)</f>
        <v>#N/A</v>
      </c>
      <c r="T119" s="98">
        <f>+IF(U117&gt;0,U119,IF(V117&gt;0,V119,IF(W117&gt;0,W119,0)))</f>
        <v>194</v>
      </c>
      <c r="U119">
        <f>+HLOOKUP(U117,R13:Y41,28,FALSE)</f>
        <v>194</v>
      </c>
      <c r="V119">
        <f>+HLOOKUP(V117,AL13:AS41,28,FALSE)</f>
        <v>225</v>
      </c>
      <c r="W119" t="e">
        <f>+HLOOKUP(W117,BF13:BM41,25,FALSE)</f>
        <v>#N/A</v>
      </c>
    </row>
    <row r="120" spans="6:65" hidden="1" x14ac:dyDescent="0.2">
      <c r="I120" t="s">
        <v>72</v>
      </c>
      <c r="J120" s="98">
        <f>+IF(K117&gt;0,K120,IF(L117&gt;0,L120,IF(M117&gt;0,M120,0)))</f>
        <v>71.5</v>
      </c>
      <c r="K120">
        <f>+HLOOKUP(J118,H13:O42,29,FALSE)</f>
        <v>71.5</v>
      </c>
      <c r="L120">
        <f>+HLOOKUP(L117,AB13:AI41,29,FALSE)</f>
        <v>82.5</v>
      </c>
      <c r="M120" t="e">
        <f>+HLOOKUP(M118,AV14:BC42,25,FALSE)</f>
        <v>#N/A</v>
      </c>
      <c r="T120" s="98">
        <f>+IF(U117&gt;0,U120,IF(V117&gt;0,V120,IF(W117&gt;0,W120,0)))</f>
        <v>68.5</v>
      </c>
      <c r="U120">
        <f>+HLOOKUP(U117,R13:Y41,29,FALSE)</f>
        <v>68.5</v>
      </c>
      <c r="V120">
        <f>+HLOOKUP(V117,AL13:AS41,29,FALSE)</f>
        <v>82</v>
      </c>
      <c r="W120" t="e">
        <f>+HLOOKUP(W117,BF13:BM41,26,FALSE)</f>
        <v>#N/A</v>
      </c>
    </row>
    <row r="121" spans="6:65" hidden="1" x14ac:dyDescent="0.2">
      <c r="I121" s="49" t="s">
        <v>275</v>
      </c>
      <c r="J121" s="98">
        <f>+IF(K117&gt;0,K121,IF(L117&gt;0,L121,IF(M117&gt;0,M121,0)))</f>
        <v>23.1</v>
      </c>
      <c r="K121">
        <f>+HLOOKUP(K117,H113:O115,3,FALSE)</f>
        <v>23.1</v>
      </c>
      <c r="L121">
        <f>+HLOOKUP(L117,AB113:AI115,3,FALSE)</f>
        <v>25.74</v>
      </c>
      <c r="M121" t="e">
        <f>+HLOOKUP(M117,AV13:BC92,26,FALSE)</f>
        <v>#N/A</v>
      </c>
      <c r="T121" s="98">
        <f>+IF(U117&gt;0,U121,IF(V117&gt;0,V121,IF(W117&gt;0,W121,0)))</f>
        <v>23.27</v>
      </c>
      <c r="U121">
        <f>+HLOOKUP(U117,R113:Y115,3,FALSE)</f>
        <v>23.27</v>
      </c>
      <c r="V121">
        <f>+HLOOKUP(V117,AL113:AS115,3,FALSE)</f>
        <v>25.74</v>
      </c>
    </row>
    <row r="122" spans="6:65" hidden="1" x14ac:dyDescent="0.2"/>
    <row r="123" spans="6:65" hidden="1" x14ac:dyDescent="0.2"/>
  </sheetData>
  <sheetProtection algorithmName="SHA-512" hashValue="pKLiqUN+dfUzuUPTO2GdgSyCeND2qHNRvEfAMV5yRedACSC4mS0A6xpuITuPWFlykxl38X1T6G1nmsLSOi296w==" saltValue="WERV3iaok0QqrQpPqLFi8A==" spinCount="100000" sheet="1" objects="1" scenarios="1"/>
  <mergeCells count="272">
    <mergeCell ref="BL114:BM114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  <mergeCell ref="BJ114:BK114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J113:BK113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02:BK102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01:BK101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3:BK13"/>
    <mergeCell ref="AP59:AQ59"/>
    <mergeCell ref="AR59:AS59"/>
    <mergeCell ref="AV59:AW59"/>
    <mergeCell ref="AX59:AY59"/>
    <mergeCell ref="AZ59:BA59"/>
    <mergeCell ref="BB59:BC59"/>
    <mergeCell ref="BF59:BG59"/>
    <mergeCell ref="BH59:BI59"/>
    <mergeCell ref="BJ59:BK59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AF41:AG41"/>
    <mergeCell ref="AH41:AI41"/>
    <mergeCell ref="T41:U41"/>
    <mergeCell ref="AL43:AM43"/>
    <mergeCell ref="AN43:AO43"/>
    <mergeCell ref="AP43:AQ43"/>
    <mergeCell ref="AR43:AS43"/>
    <mergeCell ref="H43:I43"/>
    <mergeCell ref="J43:K43"/>
    <mergeCell ref="L43:M43"/>
    <mergeCell ref="N43:O43"/>
    <mergeCell ref="R43:S43"/>
    <mergeCell ref="AH43:AI43"/>
    <mergeCell ref="V43:W43"/>
    <mergeCell ref="X43:Y43"/>
    <mergeCell ref="AB43:AC43"/>
    <mergeCell ref="AD43:AE43"/>
    <mergeCell ref="AF43:AG43"/>
    <mergeCell ref="AL40:AM40"/>
    <mergeCell ref="AN40:AO40"/>
    <mergeCell ref="AP40:AQ40"/>
    <mergeCell ref="AR40:AS40"/>
    <mergeCell ref="AH40:AI40"/>
    <mergeCell ref="H41:I41"/>
    <mergeCell ref="J41:K41"/>
    <mergeCell ref="L41:M41"/>
    <mergeCell ref="N41:O41"/>
    <mergeCell ref="R41:S41"/>
    <mergeCell ref="V40:W40"/>
    <mergeCell ref="X40:Y40"/>
    <mergeCell ref="AB40:AC40"/>
    <mergeCell ref="AD40:AE40"/>
    <mergeCell ref="AF40:AG40"/>
    <mergeCell ref="H40:I40"/>
    <mergeCell ref="J40:K40"/>
    <mergeCell ref="L40:M40"/>
    <mergeCell ref="N40:O40"/>
    <mergeCell ref="R40:S40"/>
    <mergeCell ref="AL41:AM41"/>
    <mergeCell ref="AN41:AO41"/>
    <mergeCell ref="AP41:AQ41"/>
    <mergeCell ref="AR41:AS41"/>
    <mergeCell ref="AL14:AM14"/>
    <mergeCell ref="AN14:AO14"/>
    <mergeCell ref="AP14:AQ14"/>
    <mergeCell ref="AR14:AS14"/>
    <mergeCell ref="V14:W14"/>
    <mergeCell ref="X14:Y14"/>
    <mergeCell ref="AB14:AC14"/>
    <mergeCell ref="AD14:AE14"/>
    <mergeCell ref="AF14:AG14"/>
    <mergeCell ref="AH14:AI14"/>
    <mergeCell ref="AB60:AC60"/>
    <mergeCell ref="AD60:AE60"/>
    <mergeCell ref="H60:I60"/>
    <mergeCell ref="J60:K60"/>
    <mergeCell ref="L60:M60"/>
    <mergeCell ref="N60:O60"/>
    <mergeCell ref="R60:S60"/>
    <mergeCell ref="H14:I14"/>
    <mergeCell ref="J14:K14"/>
    <mergeCell ref="L14:M14"/>
    <mergeCell ref="N14:O14"/>
    <mergeCell ref="R14:S14"/>
    <mergeCell ref="T40:U40"/>
    <mergeCell ref="T14:U14"/>
    <mergeCell ref="T43:U43"/>
    <mergeCell ref="V41:W41"/>
    <mergeCell ref="X41:Y41"/>
    <mergeCell ref="AB41:AC41"/>
    <mergeCell ref="AD41:AE41"/>
    <mergeCell ref="H59:I59"/>
    <mergeCell ref="J59:K59"/>
    <mergeCell ref="L59:M59"/>
    <mergeCell ref="N59:O59"/>
    <mergeCell ref="R59:S59"/>
    <mergeCell ref="AR60:AS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L86:AM86"/>
    <mergeCell ref="AN86:AO86"/>
    <mergeCell ref="AP86:AQ86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R86:AS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P87:AQ87"/>
    <mergeCell ref="AR89:AS89"/>
    <mergeCell ref="AR87:AS87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AF89:AG89"/>
    <mergeCell ref="AH89:AI89"/>
    <mergeCell ref="AL89:AM89"/>
    <mergeCell ref="AN89:AO89"/>
    <mergeCell ref="AP89:AQ8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0AF7-F84C-46B8-BC53-F3FCF5ED97BA}">
  <dimension ref="D7:BM76"/>
  <sheetViews>
    <sheetView showGridLines="0" topLeftCell="H77" zoomScale="115" zoomScaleNormal="115" workbookViewId="0">
      <selection activeCell="N101" sqref="N101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97" t="s">
        <v>56</v>
      </c>
      <c r="U10" s="97" t="s">
        <v>56</v>
      </c>
      <c r="AE10" s="97" t="s">
        <v>57</v>
      </c>
      <c r="AO10" s="97" t="s">
        <v>57</v>
      </c>
      <c r="AY10" s="97" t="s">
        <v>58</v>
      </c>
      <c r="BI10" s="97" t="s">
        <v>58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AB12">
        <v>158</v>
      </c>
      <c r="AD12">
        <v>179</v>
      </c>
      <c r="AF12">
        <v>189</v>
      </c>
      <c r="AH12">
        <v>189</v>
      </c>
    </row>
    <row r="13" spans="7:65" hidden="1" x14ac:dyDescent="0.2">
      <c r="H13" s="237" t="s">
        <v>131</v>
      </c>
      <c r="I13" s="237"/>
      <c r="J13" s="237" t="s">
        <v>132</v>
      </c>
      <c r="K13" s="237"/>
      <c r="L13" s="237" t="s">
        <v>133</v>
      </c>
      <c r="M13" s="237"/>
      <c r="N13" s="237" t="s">
        <v>134</v>
      </c>
      <c r="O13" s="237"/>
      <c r="R13" s="237" t="s">
        <v>131</v>
      </c>
      <c r="S13" s="237"/>
      <c r="T13" s="237" t="s">
        <v>132</v>
      </c>
      <c r="U13" s="237"/>
      <c r="V13" s="237" t="s">
        <v>133</v>
      </c>
      <c r="W13" s="237"/>
      <c r="X13" s="237" t="s">
        <v>134</v>
      </c>
      <c r="Y13" s="237"/>
      <c r="AB13" s="237" t="s">
        <v>135</v>
      </c>
      <c r="AC13" s="237"/>
      <c r="AD13" s="237" t="s">
        <v>136</v>
      </c>
      <c r="AE13" s="237"/>
      <c r="AF13" s="237" t="s">
        <v>137</v>
      </c>
      <c r="AG13" s="237"/>
      <c r="AH13" s="237" t="s">
        <v>138</v>
      </c>
      <c r="AI13" s="237"/>
      <c r="AL13" s="237" t="s">
        <v>135</v>
      </c>
      <c r="AM13" s="237"/>
      <c r="AN13" s="237" t="s">
        <v>136</v>
      </c>
      <c r="AO13" s="237"/>
      <c r="AP13" s="237" t="s">
        <v>137</v>
      </c>
      <c r="AQ13" s="237"/>
      <c r="AR13" s="237" t="s">
        <v>138</v>
      </c>
      <c r="AS13" s="237"/>
      <c r="AV13" s="237" t="s">
        <v>139</v>
      </c>
      <c r="AW13" s="237"/>
      <c r="AX13" s="237" t="s">
        <v>140</v>
      </c>
      <c r="AY13" s="237"/>
      <c r="AZ13" s="237" t="s">
        <v>141</v>
      </c>
      <c r="BA13" s="237"/>
      <c r="BB13" s="237" t="s">
        <v>142</v>
      </c>
      <c r="BC13" s="237"/>
      <c r="BF13" s="237" t="s">
        <v>139</v>
      </c>
      <c r="BG13" s="237"/>
      <c r="BH13" s="237" t="s">
        <v>140</v>
      </c>
      <c r="BI13" s="237"/>
      <c r="BJ13" s="237" t="s">
        <v>141</v>
      </c>
      <c r="BK13" s="237"/>
      <c r="BL13" s="237" t="s">
        <v>142</v>
      </c>
      <c r="BM13" s="237"/>
    </row>
    <row r="14" spans="7:65" hidden="1" x14ac:dyDescent="0.2">
      <c r="H14" s="237">
        <v>5</v>
      </c>
      <c r="I14" s="237"/>
      <c r="J14" s="237">
        <v>6</v>
      </c>
      <c r="K14" s="237"/>
      <c r="L14" s="237">
        <v>7</v>
      </c>
      <c r="M14" s="237"/>
      <c r="N14" s="237">
        <v>8</v>
      </c>
      <c r="O14" s="237"/>
      <c r="R14" s="237">
        <v>5</v>
      </c>
      <c r="S14" s="237"/>
      <c r="T14" s="237">
        <v>6</v>
      </c>
      <c r="U14" s="237"/>
      <c r="V14" s="237">
        <v>7</v>
      </c>
      <c r="W14" s="237"/>
      <c r="X14" s="237">
        <v>8</v>
      </c>
      <c r="Y14" s="237"/>
      <c r="AB14" s="237">
        <v>5</v>
      </c>
      <c r="AC14" s="237"/>
      <c r="AD14" s="237">
        <v>6</v>
      </c>
      <c r="AE14" s="237"/>
      <c r="AF14" s="237">
        <v>7</v>
      </c>
      <c r="AG14" s="237"/>
      <c r="AH14" s="237">
        <v>8</v>
      </c>
      <c r="AI14" s="237"/>
      <c r="AL14" s="237">
        <v>5</v>
      </c>
      <c r="AM14" s="237"/>
      <c r="AN14" s="237">
        <v>6</v>
      </c>
      <c r="AO14" s="237"/>
      <c r="AP14" s="237">
        <v>7</v>
      </c>
      <c r="AQ14" s="237"/>
      <c r="AR14" s="237">
        <v>8</v>
      </c>
      <c r="AS14" s="237"/>
      <c r="AV14" s="237">
        <v>5</v>
      </c>
      <c r="AW14" s="237"/>
      <c r="AX14" s="237">
        <v>6</v>
      </c>
      <c r="AY14" s="237"/>
      <c r="AZ14" s="237">
        <v>7</v>
      </c>
      <c r="BA14" s="237"/>
      <c r="BB14" s="237">
        <v>8</v>
      </c>
      <c r="BC14" s="237"/>
      <c r="BF14" s="237">
        <v>5</v>
      </c>
      <c r="BG14" s="237"/>
      <c r="BH14" s="237">
        <v>6</v>
      </c>
      <c r="BI14" s="237"/>
      <c r="BJ14" s="237">
        <v>7</v>
      </c>
      <c r="BK14" s="237"/>
      <c r="BL14" s="237">
        <v>8</v>
      </c>
      <c r="BM14" s="237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6.6</v>
      </c>
      <c r="I16">
        <v>7</v>
      </c>
      <c r="J16">
        <v>6.75</v>
      </c>
      <c r="K16">
        <v>7.13</v>
      </c>
      <c r="L16">
        <v>6.85</v>
      </c>
      <c r="M16">
        <v>7.2</v>
      </c>
      <c r="N16">
        <v>6.9</v>
      </c>
      <c r="O16">
        <v>7.3</v>
      </c>
      <c r="Q16" t="s">
        <v>161</v>
      </c>
      <c r="R16">
        <v>5.2</v>
      </c>
      <c r="S16">
        <v>5.2</v>
      </c>
      <c r="T16">
        <v>5</v>
      </c>
      <c r="U16">
        <v>5</v>
      </c>
      <c r="V16">
        <v>5</v>
      </c>
      <c r="W16">
        <v>4.9000000000000004</v>
      </c>
      <c r="X16">
        <v>4.7</v>
      </c>
      <c r="Y16">
        <v>4.7</v>
      </c>
      <c r="AA16" t="s">
        <v>161</v>
      </c>
      <c r="AB16">
        <v>8.1999999999999993</v>
      </c>
      <c r="AC16">
        <v>8.75</v>
      </c>
      <c r="AD16">
        <v>8.3000000000000007</v>
      </c>
      <c r="AE16">
        <v>8.9</v>
      </c>
      <c r="AF16">
        <v>8.4499999999999993</v>
      </c>
      <c r="AG16">
        <v>9</v>
      </c>
      <c r="AH16">
        <v>8.5500000000000007</v>
      </c>
      <c r="AI16">
        <v>9</v>
      </c>
      <c r="AK16" t="s">
        <v>161</v>
      </c>
      <c r="AL16">
        <v>6.95</v>
      </c>
      <c r="AM16">
        <v>6.95</v>
      </c>
      <c r="AN16">
        <f>+AL16-0.1</f>
        <v>6.8500000000000005</v>
      </c>
      <c r="AO16">
        <v>6.7</v>
      </c>
      <c r="AP16">
        <v>6.5</v>
      </c>
      <c r="AQ16">
        <v>6.5</v>
      </c>
      <c r="AR16">
        <v>6.3</v>
      </c>
      <c r="AS16">
        <v>6.3</v>
      </c>
      <c r="AU16" t="s">
        <v>161</v>
      </c>
      <c r="AV16">
        <v>9</v>
      </c>
      <c r="AW16">
        <v>9</v>
      </c>
      <c r="AX16">
        <v>9</v>
      </c>
      <c r="AY16">
        <v>9</v>
      </c>
      <c r="AZ16">
        <v>9</v>
      </c>
      <c r="BA16">
        <v>9</v>
      </c>
      <c r="BB16">
        <v>9</v>
      </c>
      <c r="BC16">
        <v>9</v>
      </c>
      <c r="BE16" t="s">
        <v>161</v>
      </c>
      <c r="BF16">
        <v>8.0500000000000007</v>
      </c>
      <c r="BG16">
        <v>8.0500000000000007</v>
      </c>
      <c r="BH16">
        <v>7.75</v>
      </c>
      <c r="BI16">
        <v>7.75</v>
      </c>
      <c r="BJ16">
        <v>7.5</v>
      </c>
      <c r="BK16">
        <v>7.5</v>
      </c>
      <c r="BL16">
        <v>7.3</v>
      </c>
      <c r="BM16">
        <v>7.3</v>
      </c>
    </row>
    <row r="17" spans="7:65" hidden="1" x14ac:dyDescent="0.2">
      <c r="G17" t="s">
        <v>34</v>
      </c>
      <c r="H17">
        <v>6.2</v>
      </c>
      <c r="I17">
        <v>6.6</v>
      </c>
      <c r="J17">
        <v>6.35</v>
      </c>
      <c r="K17">
        <f>0.2+I17</f>
        <v>6.8</v>
      </c>
      <c r="L17">
        <f>0.2+J17</f>
        <v>6.55</v>
      </c>
      <c r="M17">
        <f>0.15+K17</f>
        <v>6.95</v>
      </c>
      <c r="N17">
        <v>6.65</v>
      </c>
      <c r="O17">
        <v>7</v>
      </c>
      <c r="Q17" t="s">
        <v>34</v>
      </c>
      <c r="R17">
        <v>5.2</v>
      </c>
      <c r="S17">
        <v>5.2</v>
      </c>
      <c r="T17">
        <v>5</v>
      </c>
      <c r="U17">
        <v>5</v>
      </c>
      <c r="V17">
        <v>5</v>
      </c>
      <c r="W17">
        <v>4.9000000000000004</v>
      </c>
      <c r="X17">
        <v>4.7</v>
      </c>
      <c r="Y17">
        <v>4.7</v>
      </c>
      <c r="AA17" t="s">
        <v>34</v>
      </c>
      <c r="AB17">
        <v>7.67</v>
      </c>
      <c r="AC17">
        <v>8.25</v>
      </c>
      <c r="AD17">
        <v>7.8</v>
      </c>
      <c r="AE17">
        <v>8.4</v>
      </c>
      <c r="AF17">
        <f t="shared" ref="AF17" si="0">0.2+AD17</f>
        <v>8</v>
      </c>
      <c r="AG17">
        <v>8.6</v>
      </c>
      <c r="AH17">
        <v>8.1</v>
      </c>
      <c r="AI17">
        <v>8.75</v>
      </c>
      <c r="AK17" t="s">
        <v>34</v>
      </c>
      <c r="AL17">
        <v>6.95</v>
      </c>
      <c r="AM17">
        <v>6.95</v>
      </c>
      <c r="AN17">
        <f>+AL17-0.1</f>
        <v>6.8500000000000005</v>
      </c>
      <c r="AO17">
        <v>6.7</v>
      </c>
      <c r="AP17">
        <v>6.5</v>
      </c>
      <c r="AQ17">
        <v>6.5</v>
      </c>
      <c r="AR17">
        <v>6.3</v>
      </c>
      <c r="AS17">
        <v>6.3</v>
      </c>
      <c r="AU17" t="s">
        <v>34</v>
      </c>
      <c r="AV17">
        <v>9</v>
      </c>
      <c r="AW17">
        <v>9</v>
      </c>
      <c r="AX17">
        <v>9</v>
      </c>
      <c r="AY17">
        <v>9</v>
      </c>
      <c r="AZ17">
        <v>9</v>
      </c>
      <c r="BA17">
        <v>9</v>
      </c>
      <c r="BB17">
        <v>9</v>
      </c>
      <c r="BC17">
        <v>9</v>
      </c>
      <c r="BE17" t="s">
        <v>34</v>
      </c>
      <c r="BF17">
        <v>8.0500000000000007</v>
      </c>
      <c r="BG17">
        <v>8.0500000000000007</v>
      </c>
      <c r="BH17">
        <v>7.75</v>
      </c>
      <c r="BI17">
        <v>7.75</v>
      </c>
      <c r="BJ17">
        <v>7.5</v>
      </c>
      <c r="BK17">
        <v>7.5</v>
      </c>
      <c r="BL17">
        <v>7.3</v>
      </c>
      <c r="BM17">
        <v>7.3</v>
      </c>
    </row>
    <row r="18" spans="7:65" hidden="1" x14ac:dyDescent="0.2">
      <c r="G18" t="s">
        <v>35</v>
      </c>
      <c r="H18">
        <v>5.85</v>
      </c>
      <c r="I18">
        <v>6.3</v>
      </c>
      <c r="J18">
        <v>6.05</v>
      </c>
      <c r="K18">
        <f t="shared" ref="K18:K39" si="1">0.2+I18</f>
        <v>6.5</v>
      </c>
      <c r="L18">
        <f t="shared" ref="L18:L39" si="2">0.2+J18</f>
        <v>6.25</v>
      </c>
      <c r="M18">
        <f t="shared" ref="M18:N39" si="3">0.15+K18</f>
        <v>6.65</v>
      </c>
      <c r="N18">
        <v>6.5</v>
      </c>
      <c r="O18">
        <f>0.1+M18</f>
        <v>6.75</v>
      </c>
      <c r="Q18" t="s">
        <v>35</v>
      </c>
      <c r="R18">
        <v>5.05</v>
      </c>
      <c r="S18">
        <v>5.2</v>
      </c>
      <c r="T18">
        <v>4.95</v>
      </c>
      <c r="U18">
        <v>5</v>
      </c>
      <c r="V18">
        <v>4.9000000000000004</v>
      </c>
      <c r="W18">
        <v>4.9000000000000004</v>
      </c>
      <c r="X18">
        <v>4.5999999999999996</v>
      </c>
      <c r="Y18">
        <v>4.7</v>
      </c>
      <c r="AA18" t="s">
        <v>35</v>
      </c>
      <c r="AB18">
        <v>7.25</v>
      </c>
      <c r="AC18">
        <v>7.85</v>
      </c>
      <c r="AD18">
        <v>7.4</v>
      </c>
      <c r="AE18">
        <v>8.0500000000000007</v>
      </c>
      <c r="AF18">
        <f t="shared" ref="AE18:AG37" si="4">0.2+AD18</f>
        <v>7.6000000000000005</v>
      </c>
      <c r="AG18">
        <f t="shared" si="4"/>
        <v>8.25</v>
      </c>
      <c r="AH18">
        <v>7.7</v>
      </c>
      <c r="AI18">
        <v>8.4</v>
      </c>
      <c r="AK18" t="s">
        <v>35</v>
      </c>
      <c r="AL18">
        <v>6.8</v>
      </c>
      <c r="AM18">
        <v>6.95</v>
      </c>
      <c r="AN18">
        <f t="shared" ref="AN18:AN31" si="5">+AL18-0.1</f>
        <v>6.7</v>
      </c>
      <c r="AO18">
        <v>6.7</v>
      </c>
      <c r="AP18">
        <v>6.5</v>
      </c>
      <c r="AQ18">
        <v>6.5</v>
      </c>
      <c r="AR18">
        <v>6.3</v>
      </c>
      <c r="AS18">
        <v>6.3</v>
      </c>
      <c r="AU18" t="s">
        <v>35</v>
      </c>
      <c r="AV18">
        <v>8.8000000000000007</v>
      </c>
      <c r="AW18">
        <v>9</v>
      </c>
      <c r="AX18">
        <v>9</v>
      </c>
      <c r="AY18">
        <v>9</v>
      </c>
      <c r="AZ18">
        <v>9</v>
      </c>
      <c r="BA18">
        <v>9</v>
      </c>
      <c r="BB18">
        <v>9</v>
      </c>
      <c r="BC18">
        <v>9</v>
      </c>
      <c r="BE18" t="s">
        <v>35</v>
      </c>
      <c r="BF18">
        <v>8.0500000000000007</v>
      </c>
      <c r="BG18">
        <v>8.0500000000000007</v>
      </c>
      <c r="BH18">
        <v>7.75</v>
      </c>
      <c r="BI18">
        <v>7.75</v>
      </c>
      <c r="BJ18">
        <v>7.5</v>
      </c>
      <c r="BK18">
        <v>7.5</v>
      </c>
      <c r="BL18">
        <v>7.3</v>
      </c>
      <c r="BM18">
        <v>7.3</v>
      </c>
    </row>
    <row r="19" spans="7:65" hidden="1" x14ac:dyDescent="0.2">
      <c r="G19" t="s">
        <v>36</v>
      </c>
      <c r="H19">
        <v>5.55</v>
      </c>
      <c r="I19">
        <v>6.05</v>
      </c>
      <c r="J19">
        <v>5.75</v>
      </c>
      <c r="K19">
        <f t="shared" si="1"/>
        <v>6.25</v>
      </c>
      <c r="L19">
        <f t="shared" si="2"/>
        <v>5.95</v>
      </c>
      <c r="M19">
        <f t="shared" si="3"/>
        <v>6.4</v>
      </c>
      <c r="N19">
        <v>6.15</v>
      </c>
      <c r="O19">
        <f t="shared" ref="O19:O39" si="6">0.1+M19</f>
        <v>6.5</v>
      </c>
      <c r="Q19" t="s">
        <v>36</v>
      </c>
      <c r="R19">
        <v>4.9000000000000004</v>
      </c>
      <c r="S19">
        <v>5.15</v>
      </c>
      <c r="T19">
        <v>4.8</v>
      </c>
      <c r="U19">
        <v>5</v>
      </c>
      <c r="V19">
        <v>4.6500000000000004</v>
      </c>
      <c r="W19">
        <v>4.9000000000000004</v>
      </c>
      <c r="X19">
        <v>4.55</v>
      </c>
      <c r="Y19">
        <v>4.7</v>
      </c>
      <c r="AA19" t="s">
        <v>36</v>
      </c>
      <c r="AB19">
        <v>6.9</v>
      </c>
      <c r="AC19">
        <v>7.5</v>
      </c>
      <c r="AD19">
        <v>7.1</v>
      </c>
      <c r="AE19">
        <f t="shared" si="4"/>
        <v>7.7</v>
      </c>
      <c r="AF19">
        <f t="shared" ref="AF19" si="7">0.2+AD19</f>
        <v>7.3</v>
      </c>
      <c r="AG19">
        <f t="shared" si="4"/>
        <v>7.9</v>
      </c>
      <c r="AH19">
        <f>0.1+AF19</f>
        <v>7.3999999999999995</v>
      </c>
      <c r="AI19">
        <v>8.1</v>
      </c>
      <c r="AK19" t="s">
        <v>36</v>
      </c>
      <c r="AL19">
        <v>6.6</v>
      </c>
      <c r="AM19">
        <v>6.95</v>
      </c>
      <c r="AN19">
        <f t="shared" si="5"/>
        <v>6.5</v>
      </c>
      <c r="AO19">
        <v>6.7</v>
      </c>
      <c r="AP19">
        <v>6.35</v>
      </c>
      <c r="AQ19">
        <v>6.5</v>
      </c>
      <c r="AR19">
        <v>6.2</v>
      </c>
      <c r="AS19">
        <v>6.3</v>
      </c>
      <c r="AU19" t="s">
        <v>36</v>
      </c>
      <c r="AV19">
        <v>8.4</v>
      </c>
      <c r="AW19">
        <v>9</v>
      </c>
      <c r="AX19">
        <v>8.5500000000000007</v>
      </c>
      <c r="AY19">
        <v>9</v>
      </c>
      <c r="AZ19">
        <v>8.6999999999999993</v>
      </c>
      <c r="BA19">
        <v>9</v>
      </c>
      <c r="BB19">
        <v>8.85</v>
      </c>
      <c r="BC19">
        <v>9</v>
      </c>
      <c r="BE19" t="s">
        <v>36</v>
      </c>
      <c r="BF19">
        <v>8.0500000000000007</v>
      </c>
      <c r="BG19">
        <v>8.0500000000000007</v>
      </c>
      <c r="BH19">
        <v>7.75</v>
      </c>
      <c r="BI19">
        <v>7.75</v>
      </c>
      <c r="BJ19">
        <v>7.5</v>
      </c>
      <c r="BK19">
        <v>7.5</v>
      </c>
      <c r="BL19">
        <v>7.3</v>
      </c>
      <c r="BM19">
        <v>7.3</v>
      </c>
    </row>
    <row r="20" spans="7:65" hidden="1" x14ac:dyDescent="0.2">
      <c r="G20" t="s">
        <v>37</v>
      </c>
      <c r="H20">
        <v>5.35</v>
      </c>
      <c r="I20">
        <v>5.8</v>
      </c>
      <c r="J20">
        <v>5.55</v>
      </c>
      <c r="K20">
        <f t="shared" si="1"/>
        <v>6</v>
      </c>
      <c r="L20">
        <f t="shared" si="2"/>
        <v>5.75</v>
      </c>
      <c r="M20">
        <f t="shared" si="3"/>
        <v>6.15</v>
      </c>
      <c r="N20">
        <v>5.9</v>
      </c>
      <c r="O20">
        <f t="shared" si="6"/>
        <v>6.25</v>
      </c>
      <c r="Q20" t="s">
        <v>37</v>
      </c>
      <c r="R20">
        <v>4.75</v>
      </c>
      <c r="S20">
        <v>5</v>
      </c>
      <c r="T20">
        <v>4.6500000000000004</v>
      </c>
      <c r="U20">
        <v>4.9000000000000004</v>
      </c>
      <c r="V20">
        <v>4.55</v>
      </c>
      <c r="W20">
        <v>4.9000000000000004</v>
      </c>
      <c r="X20">
        <v>4.45</v>
      </c>
      <c r="Y20">
        <v>4.6500000000000004</v>
      </c>
      <c r="AA20" t="s">
        <v>37</v>
      </c>
      <c r="AB20">
        <v>6.6</v>
      </c>
      <c r="AC20">
        <v>7.2</v>
      </c>
      <c r="AD20">
        <v>6.8</v>
      </c>
      <c r="AE20">
        <f t="shared" si="4"/>
        <v>7.4</v>
      </c>
      <c r="AF20">
        <f t="shared" si="4"/>
        <v>7</v>
      </c>
      <c r="AG20">
        <f t="shared" si="4"/>
        <v>7.6000000000000005</v>
      </c>
      <c r="AH20">
        <f t="shared" ref="AH20:AH39" si="8">0.1+AF20</f>
        <v>7.1</v>
      </c>
      <c r="AI20">
        <v>7.8</v>
      </c>
      <c r="AK20" t="s">
        <v>37</v>
      </c>
      <c r="AL20">
        <v>6.4</v>
      </c>
      <c r="AM20">
        <v>6.76</v>
      </c>
      <c r="AN20">
        <f t="shared" si="5"/>
        <v>6.3000000000000007</v>
      </c>
      <c r="AO20">
        <v>6.65</v>
      </c>
      <c r="AP20">
        <v>6.2</v>
      </c>
      <c r="AQ20">
        <v>6.5</v>
      </c>
      <c r="AR20">
        <v>6.05</v>
      </c>
      <c r="AS20">
        <v>6.3</v>
      </c>
      <c r="AU20" t="s">
        <v>37</v>
      </c>
      <c r="AV20">
        <v>8.0500000000000007</v>
      </c>
      <c r="AW20">
        <v>8.8000000000000007</v>
      </c>
      <c r="AX20">
        <v>8.25</v>
      </c>
      <c r="AY20">
        <v>9</v>
      </c>
      <c r="AZ20">
        <v>8.4</v>
      </c>
      <c r="BA20">
        <v>9</v>
      </c>
      <c r="BB20">
        <v>8.5</v>
      </c>
      <c r="BC20">
        <v>9</v>
      </c>
      <c r="BE20" t="s">
        <v>37</v>
      </c>
      <c r="BF20">
        <v>7.9</v>
      </c>
      <c r="BG20">
        <v>8.0500000000000007</v>
      </c>
      <c r="BH20">
        <v>7.75</v>
      </c>
      <c r="BI20">
        <v>7.75</v>
      </c>
      <c r="BJ20">
        <v>7.5</v>
      </c>
      <c r="BK20">
        <v>7.5</v>
      </c>
      <c r="BL20">
        <v>7.3</v>
      </c>
      <c r="BM20">
        <v>7.3</v>
      </c>
    </row>
    <row r="21" spans="7:65" hidden="1" x14ac:dyDescent="0.2">
      <c r="G21" t="s">
        <v>80</v>
      </c>
      <c r="H21">
        <v>5.15</v>
      </c>
      <c r="I21">
        <v>5.6</v>
      </c>
      <c r="J21">
        <v>5.35</v>
      </c>
      <c r="K21">
        <f t="shared" si="1"/>
        <v>5.8</v>
      </c>
      <c r="L21">
        <f t="shared" si="2"/>
        <v>5.55</v>
      </c>
      <c r="M21">
        <f t="shared" si="3"/>
        <v>5.95</v>
      </c>
      <c r="N21">
        <f t="shared" si="3"/>
        <v>5.7</v>
      </c>
      <c r="O21">
        <f t="shared" si="6"/>
        <v>6.05</v>
      </c>
      <c r="Q21" t="s">
        <v>80</v>
      </c>
      <c r="R21">
        <v>4.5999999999999996</v>
      </c>
      <c r="S21">
        <v>4.8499999999999996</v>
      </c>
      <c r="T21">
        <v>4.5</v>
      </c>
      <c r="U21">
        <v>4.75</v>
      </c>
      <c r="V21">
        <v>4.45</v>
      </c>
      <c r="W21">
        <v>4.7</v>
      </c>
      <c r="X21">
        <v>4.3499999999999996</v>
      </c>
      <c r="Y21">
        <v>4.5999999999999996</v>
      </c>
      <c r="AA21" t="s">
        <v>80</v>
      </c>
      <c r="AB21">
        <v>6.35</v>
      </c>
      <c r="AC21">
        <v>7</v>
      </c>
      <c r="AD21">
        <v>6.55</v>
      </c>
      <c r="AE21">
        <f t="shared" si="4"/>
        <v>7.2</v>
      </c>
      <c r="AF21">
        <f>0.15+AD21</f>
        <v>6.7</v>
      </c>
      <c r="AG21">
        <f t="shared" si="4"/>
        <v>7.4</v>
      </c>
      <c r="AH21">
        <f t="shared" si="8"/>
        <v>6.8</v>
      </c>
      <c r="AI21">
        <f>0.2+AG21</f>
        <v>7.6000000000000005</v>
      </c>
      <c r="AK21" t="s">
        <v>80</v>
      </c>
      <c r="AL21">
        <v>6.2</v>
      </c>
      <c r="AM21">
        <v>6.55</v>
      </c>
      <c r="AN21">
        <f t="shared" si="5"/>
        <v>6.1000000000000005</v>
      </c>
      <c r="AO21">
        <v>6.5</v>
      </c>
      <c r="AP21">
        <v>6.05</v>
      </c>
      <c r="AQ21">
        <v>6.35</v>
      </c>
      <c r="AR21">
        <v>5.9</v>
      </c>
      <c r="AS21">
        <v>6.25</v>
      </c>
      <c r="AU21" t="s">
        <v>80</v>
      </c>
      <c r="AV21">
        <v>7.75</v>
      </c>
      <c r="AW21">
        <v>8.5</v>
      </c>
      <c r="AX21">
        <v>7.95</v>
      </c>
      <c r="AY21">
        <v>8.6999999999999993</v>
      </c>
      <c r="AZ21">
        <v>8.1</v>
      </c>
      <c r="BA21">
        <v>8.9</v>
      </c>
      <c r="BB21">
        <f>0.15+AZ21</f>
        <v>8.25</v>
      </c>
      <c r="BC21">
        <v>9</v>
      </c>
      <c r="BE21" t="s">
        <v>80</v>
      </c>
      <c r="BF21">
        <v>7.7</v>
      </c>
      <c r="BG21">
        <v>8.0500000000000007</v>
      </c>
      <c r="BH21">
        <v>7.6</v>
      </c>
      <c r="BI21">
        <v>7.75</v>
      </c>
      <c r="BJ21">
        <v>7.5</v>
      </c>
      <c r="BK21">
        <v>7.5</v>
      </c>
      <c r="BL21">
        <v>7.3</v>
      </c>
      <c r="BM21">
        <v>7.3</v>
      </c>
    </row>
    <row r="22" spans="7:65" hidden="1" x14ac:dyDescent="0.2">
      <c r="G22" t="s">
        <v>38</v>
      </c>
      <c r="H22">
        <v>4.8</v>
      </c>
      <c r="I22">
        <v>5.25</v>
      </c>
      <c r="J22">
        <v>5</v>
      </c>
      <c r="K22">
        <f t="shared" si="1"/>
        <v>5.45</v>
      </c>
      <c r="L22">
        <f t="shared" si="2"/>
        <v>5.2</v>
      </c>
      <c r="M22">
        <f t="shared" si="3"/>
        <v>5.6000000000000005</v>
      </c>
      <c r="N22">
        <f t="shared" si="3"/>
        <v>5.3500000000000005</v>
      </c>
      <c r="O22">
        <f t="shared" si="6"/>
        <v>5.7</v>
      </c>
      <c r="Q22" t="s">
        <v>38</v>
      </c>
      <c r="R22">
        <v>4.3499999999999996</v>
      </c>
      <c r="S22">
        <v>4.55</v>
      </c>
      <c r="T22">
        <v>4.25</v>
      </c>
      <c r="U22">
        <v>4.55</v>
      </c>
      <c r="V22">
        <v>4.25</v>
      </c>
      <c r="W22">
        <v>4.5</v>
      </c>
      <c r="X22">
        <v>4.1500000000000004</v>
      </c>
      <c r="Y22">
        <v>4.4000000000000004</v>
      </c>
      <c r="AA22" t="s">
        <v>38</v>
      </c>
      <c r="AB22">
        <v>6</v>
      </c>
      <c r="AC22">
        <v>6.55</v>
      </c>
      <c r="AD22">
        <f>0.2+AB22</f>
        <v>6.2</v>
      </c>
      <c r="AE22">
        <f t="shared" si="4"/>
        <v>6.75</v>
      </c>
      <c r="AF22">
        <f t="shared" ref="AF22:AF37" si="9">0.15+AD22</f>
        <v>6.3500000000000005</v>
      </c>
      <c r="AG22">
        <f t="shared" si="4"/>
        <v>6.95</v>
      </c>
      <c r="AH22">
        <f t="shared" si="8"/>
        <v>6.45</v>
      </c>
      <c r="AI22">
        <f t="shared" ref="AI22:AI37" si="10">0.2+AG22</f>
        <v>7.15</v>
      </c>
      <c r="AK22" t="s">
        <v>38</v>
      </c>
      <c r="AL22">
        <v>5.9</v>
      </c>
      <c r="AM22">
        <v>6.2</v>
      </c>
      <c r="AN22">
        <f t="shared" si="5"/>
        <v>5.8000000000000007</v>
      </c>
      <c r="AO22">
        <v>6.15</v>
      </c>
      <c r="AP22">
        <v>5.75</v>
      </c>
      <c r="AQ22">
        <v>6.1</v>
      </c>
      <c r="AR22">
        <v>5.7</v>
      </c>
      <c r="AS22">
        <v>6</v>
      </c>
      <c r="AU22" t="s">
        <v>38</v>
      </c>
      <c r="AV22">
        <v>7.25</v>
      </c>
      <c r="AW22">
        <v>8</v>
      </c>
      <c r="AX22">
        <f>0.2+AV22</f>
        <v>7.45</v>
      </c>
      <c r="AY22">
        <f>0.2+AW22</f>
        <v>8.1999999999999993</v>
      </c>
      <c r="AZ22">
        <v>7.6</v>
      </c>
      <c r="BA22">
        <v>8.4</v>
      </c>
      <c r="BB22">
        <f t="shared" ref="BB22:BC37" si="11">0.15+AZ22</f>
        <v>7.75</v>
      </c>
      <c r="BC22">
        <v>8.5500000000000007</v>
      </c>
      <c r="BE22" t="s">
        <v>38</v>
      </c>
      <c r="BF22">
        <v>7.25</v>
      </c>
      <c r="BG22">
        <v>7.7</v>
      </c>
      <c r="BH22">
        <v>7.2</v>
      </c>
      <c r="BI22">
        <v>7.6</v>
      </c>
      <c r="BJ22">
        <v>7.15</v>
      </c>
      <c r="BK22">
        <v>7.5</v>
      </c>
      <c r="BL22">
        <v>7.3</v>
      </c>
      <c r="BM22">
        <v>7.3</v>
      </c>
    </row>
    <row r="23" spans="7:65" hidden="1" x14ac:dyDescent="0.2">
      <c r="G23" t="s">
        <v>39</v>
      </c>
      <c r="H23">
        <v>4.55</v>
      </c>
      <c r="I23">
        <v>4.9000000000000004</v>
      </c>
      <c r="J23">
        <v>4.75</v>
      </c>
      <c r="K23">
        <f t="shared" si="1"/>
        <v>5.1000000000000005</v>
      </c>
      <c r="L23">
        <f t="shared" si="2"/>
        <v>4.95</v>
      </c>
      <c r="M23">
        <f t="shared" si="3"/>
        <v>5.2500000000000009</v>
      </c>
      <c r="N23">
        <f t="shared" si="3"/>
        <v>5.1000000000000005</v>
      </c>
      <c r="O23">
        <f t="shared" si="6"/>
        <v>5.3500000000000005</v>
      </c>
      <c r="Q23" t="s">
        <v>39</v>
      </c>
      <c r="R23">
        <v>4.0999999999999996</v>
      </c>
      <c r="S23">
        <v>4.3499999999999996</v>
      </c>
      <c r="T23">
        <v>4</v>
      </c>
      <c r="U23">
        <v>4.3499999999999996</v>
      </c>
      <c r="V23">
        <v>4.0999999999999996</v>
      </c>
      <c r="W23">
        <v>4.3</v>
      </c>
      <c r="X23">
        <v>4.05</v>
      </c>
      <c r="Y23">
        <v>4.25</v>
      </c>
      <c r="AA23" t="s">
        <v>39</v>
      </c>
      <c r="AB23">
        <v>5.6</v>
      </c>
      <c r="AC23">
        <v>6.2</v>
      </c>
      <c r="AD23">
        <f t="shared" ref="AD23:AE39" si="12">0.2+AB23</f>
        <v>5.8</v>
      </c>
      <c r="AE23">
        <f t="shared" si="12"/>
        <v>6.4</v>
      </c>
      <c r="AF23">
        <f t="shared" si="9"/>
        <v>5.95</v>
      </c>
      <c r="AG23">
        <f t="shared" si="4"/>
        <v>6.6000000000000005</v>
      </c>
      <c r="AH23">
        <f t="shared" si="8"/>
        <v>6.05</v>
      </c>
      <c r="AI23">
        <f t="shared" si="10"/>
        <v>6.8000000000000007</v>
      </c>
      <c r="AK23" t="s">
        <v>39</v>
      </c>
      <c r="AL23">
        <v>5.6</v>
      </c>
      <c r="AM23">
        <v>5.85</v>
      </c>
      <c r="AN23">
        <f t="shared" si="5"/>
        <v>5.5</v>
      </c>
      <c r="AO23">
        <v>5.85</v>
      </c>
      <c r="AP23">
        <v>5.5</v>
      </c>
      <c r="AQ23">
        <v>5.8</v>
      </c>
      <c r="AR23">
        <v>5.45</v>
      </c>
      <c r="AS23">
        <v>5.75</v>
      </c>
      <c r="AU23" t="s">
        <v>39</v>
      </c>
      <c r="AV23">
        <v>6.85</v>
      </c>
      <c r="AW23">
        <v>7.55</v>
      </c>
      <c r="AX23">
        <f t="shared" ref="AX23:AX38" si="13">0.2+AV23</f>
        <v>7.05</v>
      </c>
      <c r="AY23">
        <f t="shared" ref="AY23:BA37" si="14">0.2+AW23</f>
        <v>7.75</v>
      </c>
      <c r="AZ23">
        <v>7.2</v>
      </c>
      <c r="BA23">
        <v>7.95</v>
      </c>
      <c r="BB23">
        <f t="shared" si="11"/>
        <v>7.3500000000000005</v>
      </c>
      <c r="BC23">
        <f t="shared" si="11"/>
        <v>8.1</v>
      </c>
      <c r="BE23" t="s">
        <v>39</v>
      </c>
      <c r="BF23">
        <v>6.85</v>
      </c>
      <c r="BG23">
        <v>7.3</v>
      </c>
      <c r="BH23">
        <v>6.9</v>
      </c>
      <c r="BI23">
        <v>7.25</v>
      </c>
      <c r="BJ23">
        <v>6.85</v>
      </c>
      <c r="BK23">
        <v>7.2</v>
      </c>
      <c r="BL23">
        <v>6.75</v>
      </c>
      <c r="BM23">
        <v>7.15</v>
      </c>
    </row>
    <row r="24" spans="7:65" hidden="1" x14ac:dyDescent="0.2">
      <c r="G24" t="s">
        <v>162</v>
      </c>
      <c r="H24">
        <v>6.05</v>
      </c>
      <c r="I24">
        <v>6.35</v>
      </c>
      <c r="J24">
        <v>6.15</v>
      </c>
      <c r="K24">
        <v>6.5</v>
      </c>
      <c r="L24">
        <v>6.3</v>
      </c>
      <c r="M24">
        <v>6.65</v>
      </c>
      <c r="N24">
        <v>6.4</v>
      </c>
      <c r="O24">
        <v>6.75</v>
      </c>
      <c r="Q24" t="s">
        <v>162</v>
      </c>
      <c r="R24">
        <v>5.2</v>
      </c>
      <c r="S24">
        <v>5.2</v>
      </c>
      <c r="T24">
        <v>5</v>
      </c>
      <c r="U24">
        <v>5</v>
      </c>
      <c r="V24">
        <v>5</v>
      </c>
      <c r="W24">
        <v>4.9000000000000004</v>
      </c>
      <c r="X24">
        <v>4.7</v>
      </c>
      <c r="Y24">
        <v>4.7</v>
      </c>
      <c r="AA24" t="s">
        <v>162</v>
      </c>
      <c r="AB24">
        <v>7.5</v>
      </c>
      <c r="AC24">
        <v>7.9</v>
      </c>
      <c r="AD24">
        <v>7.7</v>
      </c>
      <c r="AE24">
        <v>8.0500000000000007</v>
      </c>
      <c r="AF24">
        <v>7.8</v>
      </c>
      <c r="AG24">
        <v>8.25</v>
      </c>
      <c r="AH24">
        <v>7.95</v>
      </c>
      <c r="AI24">
        <v>8.4</v>
      </c>
      <c r="AK24" t="s">
        <v>162</v>
      </c>
      <c r="AL24">
        <v>6.8</v>
      </c>
      <c r="AM24">
        <v>6.95</v>
      </c>
      <c r="AN24">
        <f t="shared" si="5"/>
        <v>6.7</v>
      </c>
      <c r="AO24">
        <v>6.7</v>
      </c>
      <c r="AP24">
        <v>6.4</v>
      </c>
      <c r="AQ24">
        <v>6.5</v>
      </c>
      <c r="AR24">
        <v>6.3</v>
      </c>
      <c r="AS24">
        <v>6.3</v>
      </c>
      <c r="AU24" t="s">
        <v>162</v>
      </c>
      <c r="AV24">
        <v>9</v>
      </c>
      <c r="AW24">
        <v>9</v>
      </c>
      <c r="AX24">
        <v>9</v>
      </c>
      <c r="AY24">
        <v>9</v>
      </c>
      <c r="AZ24">
        <v>9</v>
      </c>
      <c r="BA24">
        <v>9</v>
      </c>
      <c r="BB24">
        <v>9</v>
      </c>
      <c r="BC24">
        <v>9</v>
      </c>
      <c r="BE24" t="s">
        <v>162</v>
      </c>
      <c r="BF24">
        <v>8.0500000000000007</v>
      </c>
      <c r="BG24">
        <v>8.0500000000000007</v>
      </c>
      <c r="BH24">
        <v>7.75</v>
      </c>
      <c r="BI24">
        <v>7.75</v>
      </c>
      <c r="BJ24">
        <v>7.5</v>
      </c>
      <c r="BK24">
        <v>7.5</v>
      </c>
      <c r="BL24">
        <v>7.3</v>
      </c>
      <c r="BM24">
        <v>7.3</v>
      </c>
    </row>
    <row r="25" spans="7:65" hidden="1" x14ac:dyDescent="0.2">
      <c r="G25" t="s">
        <v>40</v>
      </c>
      <c r="H25">
        <v>5.75</v>
      </c>
      <c r="I25">
        <v>6.05</v>
      </c>
      <c r="J25">
        <v>5.9</v>
      </c>
      <c r="K25">
        <f t="shared" si="1"/>
        <v>6.25</v>
      </c>
      <c r="L25">
        <f t="shared" si="2"/>
        <v>6.1000000000000005</v>
      </c>
      <c r="M25">
        <f t="shared" si="3"/>
        <v>6.4</v>
      </c>
      <c r="N25">
        <f t="shared" si="3"/>
        <v>6.2500000000000009</v>
      </c>
      <c r="O25">
        <f t="shared" si="6"/>
        <v>6.5</v>
      </c>
      <c r="Q25" t="s">
        <v>40</v>
      </c>
      <c r="R25">
        <v>4.9000000000000004</v>
      </c>
      <c r="S25">
        <v>5.15</v>
      </c>
      <c r="T25">
        <v>4.8</v>
      </c>
      <c r="U25">
        <v>5</v>
      </c>
      <c r="V25">
        <v>4.75</v>
      </c>
      <c r="W25">
        <v>4.8499999999999996</v>
      </c>
      <c r="X25">
        <v>4.6500000000000004</v>
      </c>
      <c r="Y25">
        <v>4.7</v>
      </c>
      <c r="AA25" t="s">
        <v>40</v>
      </c>
      <c r="AB25">
        <v>7.15</v>
      </c>
      <c r="AC25">
        <v>7.5</v>
      </c>
      <c r="AD25">
        <f t="shared" si="12"/>
        <v>7.3500000000000005</v>
      </c>
      <c r="AE25">
        <f t="shared" si="4"/>
        <v>7.7</v>
      </c>
      <c r="AF25">
        <f t="shared" si="9"/>
        <v>7.5000000000000009</v>
      </c>
      <c r="AG25">
        <f t="shared" si="4"/>
        <v>7.9</v>
      </c>
      <c r="AH25">
        <f t="shared" si="8"/>
        <v>7.6000000000000005</v>
      </c>
      <c r="AI25">
        <f t="shared" si="10"/>
        <v>8.1</v>
      </c>
      <c r="AK25" t="s">
        <v>40</v>
      </c>
      <c r="AL25">
        <v>6.6</v>
      </c>
      <c r="AM25">
        <v>6.95</v>
      </c>
      <c r="AN25">
        <f t="shared" si="5"/>
        <v>6.5</v>
      </c>
      <c r="AO25">
        <v>6.7</v>
      </c>
      <c r="AP25">
        <v>6.4</v>
      </c>
      <c r="AQ25">
        <v>6.5</v>
      </c>
      <c r="AR25">
        <v>6.3</v>
      </c>
      <c r="AS25">
        <v>6.3</v>
      </c>
      <c r="AU25" t="s">
        <v>40</v>
      </c>
      <c r="AV25">
        <v>8.65</v>
      </c>
      <c r="AW25">
        <v>9</v>
      </c>
      <c r="AX25">
        <f t="shared" si="13"/>
        <v>8.85</v>
      </c>
      <c r="AY25">
        <f t="shared" si="14"/>
        <v>9.1999999999999993</v>
      </c>
      <c r="AZ25">
        <v>9</v>
      </c>
      <c r="BA25">
        <v>9</v>
      </c>
      <c r="BB25">
        <f t="shared" si="11"/>
        <v>9.15</v>
      </c>
      <c r="BC25">
        <v>9</v>
      </c>
      <c r="BE25" t="s">
        <v>40</v>
      </c>
      <c r="BF25">
        <v>8.0500000000000007</v>
      </c>
      <c r="BG25">
        <v>8.0500000000000007</v>
      </c>
      <c r="BH25">
        <v>7.75</v>
      </c>
      <c r="BI25">
        <v>7.75</v>
      </c>
      <c r="BJ25">
        <v>7.5</v>
      </c>
      <c r="BK25">
        <v>7.5</v>
      </c>
      <c r="BL25">
        <v>7.3</v>
      </c>
      <c r="BM25">
        <v>7.3</v>
      </c>
    </row>
    <row r="26" spans="7:65" hidden="1" x14ac:dyDescent="0.2">
      <c r="G26" t="s">
        <v>41</v>
      </c>
      <c r="H26">
        <v>5.5</v>
      </c>
      <c r="I26">
        <v>5.8</v>
      </c>
      <c r="J26">
        <v>5.7</v>
      </c>
      <c r="K26">
        <f t="shared" si="1"/>
        <v>6</v>
      </c>
      <c r="L26">
        <f t="shared" si="2"/>
        <v>5.9</v>
      </c>
      <c r="M26">
        <f t="shared" si="3"/>
        <v>6.15</v>
      </c>
      <c r="N26">
        <f t="shared" si="3"/>
        <v>6.0500000000000007</v>
      </c>
      <c r="O26">
        <f t="shared" si="6"/>
        <v>6.25</v>
      </c>
      <c r="Q26" t="s">
        <v>41</v>
      </c>
      <c r="R26">
        <v>4.75</v>
      </c>
      <c r="S26">
        <v>5</v>
      </c>
      <c r="T26">
        <v>4.7</v>
      </c>
      <c r="U26">
        <v>4.95</v>
      </c>
      <c r="V26">
        <v>4.6500000000000004</v>
      </c>
      <c r="W26">
        <v>4.8499999999999996</v>
      </c>
      <c r="X26">
        <v>4.55</v>
      </c>
      <c r="Y26">
        <v>4.7</v>
      </c>
      <c r="AA26" t="s">
        <v>41</v>
      </c>
      <c r="AB26">
        <v>6.8</v>
      </c>
      <c r="AC26">
        <v>7.2</v>
      </c>
      <c r="AD26">
        <f t="shared" si="12"/>
        <v>7</v>
      </c>
      <c r="AE26">
        <f t="shared" si="4"/>
        <v>7.4</v>
      </c>
      <c r="AF26">
        <f t="shared" si="9"/>
        <v>7.15</v>
      </c>
      <c r="AG26">
        <f t="shared" si="4"/>
        <v>7.6000000000000005</v>
      </c>
      <c r="AH26">
        <f t="shared" si="8"/>
        <v>7.25</v>
      </c>
      <c r="AI26">
        <f t="shared" si="10"/>
        <v>7.8000000000000007</v>
      </c>
      <c r="AK26" t="s">
        <v>41</v>
      </c>
      <c r="AL26">
        <v>6.4</v>
      </c>
      <c r="AM26">
        <v>6.75</v>
      </c>
      <c r="AN26">
        <f t="shared" si="5"/>
        <v>6.3000000000000007</v>
      </c>
      <c r="AO26">
        <v>6.65</v>
      </c>
      <c r="AP26">
        <v>6.25</v>
      </c>
      <c r="AQ26">
        <v>6.5</v>
      </c>
      <c r="AR26">
        <v>6.15</v>
      </c>
      <c r="AS26">
        <v>6.3</v>
      </c>
      <c r="AU26" t="s">
        <v>41</v>
      </c>
      <c r="AV26">
        <v>8.25</v>
      </c>
      <c r="AW26">
        <v>8.8000000000000007</v>
      </c>
      <c r="AX26">
        <f t="shared" si="13"/>
        <v>8.4499999999999993</v>
      </c>
      <c r="AY26">
        <f t="shared" si="14"/>
        <v>9</v>
      </c>
      <c r="AZ26">
        <f>0.15+AX26</f>
        <v>8.6</v>
      </c>
      <c r="BA26">
        <v>9</v>
      </c>
      <c r="BB26">
        <f t="shared" si="11"/>
        <v>8.75</v>
      </c>
      <c r="BC26">
        <v>9</v>
      </c>
      <c r="BE26" t="s">
        <v>41</v>
      </c>
      <c r="BF26">
        <v>7.9</v>
      </c>
      <c r="BG26">
        <v>8.0500000000000007</v>
      </c>
      <c r="BH26">
        <v>7.75</v>
      </c>
      <c r="BI26">
        <v>7.75</v>
      </c>
      <c r="BJ26">
        <v>7.5</v>
      </c>
      <c r="BK26">
        <v>7.5</v>
      </c>
      <c r="BL26">
        <v>7.3</v>
      </c>
      <c r="BM26">
        <v>7.3</v>
      </c>
    </row>
    <row r="27" spans="7:65" hidden="1" x14ac:dyDescent="0.2">
      <c r="G27" t="s">
        <v>42</v>
      </c>
      <c r="H27">
        <v>5.25</v>
      </c>
      <c r="I27">
        <v>5.6</v>
      </c>
      <c r="J27">
        <v>5.45</v>
      </c>
      <c r="K27">
        <f t="shared" si="1"/>
        <v>5.8</v>
      </c>
      <c r="L27">
        <f t="shared" si="2"/>
        <v>5.65</v>
      </c>
      <c r="M27">
        <f t="shared" si="3"/>
        <v>5.95</v>
      </c>
      <c r="N27">
        <f t="shared" si="3"/>
        <v>5.8000000000000007</v>
      </c>
      <c r="O27">
        <f t="shared" si="6"/>
        <v>6.05</v>
      </c>
      <c r="Q27" t="s">
        <v>42</v>
      </c>
      <c r="R27">
        <v>4.5999999999999996</v>
      </c>
      <c r="S27">
        <v>4.8499999999999996</v>
      </c>
      <c r="T27">
        <v>4.5999999999999996</v>
      </c>
      <c r="U27">
        <v>4.8499999999999996</v>
      </c>
      <c r="V27">
        <v>4.55</v>
      </c>
      <c r="W27">
        <v>4.7</v>
      </c>
      <c r="X27">
        <v>4.45</v>
      </c>
      <c r="Y27">
        <v>4.7</v>
      </c>
      <c r="AA27" t="s">
        <v>42</v>
      </c>
      <c r="AB27">
        <v>6.55</v>
      </c>
      <c r="AC27">
        <v>7</v>
      </c>
      <c r="AD27">
        <f t="shared" si="12"/>
        <v>6.75</v>
      </c>
      <c r="AE27">
        <f t="shared" si="4"/>
        <v>7.2</v>
      </c>
      <c r="AF27">
        <f t="shared" si="9"/>
        <v>6.9</v>
      </c>
      <c r="AG27">
        <f t="shared" si="4"/>
        <v>7.4</v>
      </c>
      <c r="AH27">
        <f t="shared" si="8"/>
        <v>7</v>
      </c>
      <c r="AI27">
        <f t="shared" si="10"/>
        <v>7.6000000000000005</v>
      </c>
      <c r="AK27" t="s">
        <v>42</v>
      </c>
      <c r="AL27">
        <v>6.2</v>
      </c>
      <c r="AM27">
        <v>6.55</v>
      </c>
      <c r="AN27">
        <f t="shared" si="5"/>
        <v>6.1000000000000005</v>
      </c>
      <c r="AO27">
        <v>65</v>
      </c>
      <c r="AP27">
        <v>6.1</v>
      </c>
      <c r="AQ27">
        <v>6.4</v>
      </c>
      <c r="AR27">
        <v>6</v>
      </c>
      <c r="AS27">
        <v>6.3</v>
      </c>
      <c r="AU27" t="s">
        <v>42</v>
      </c>
      <c r="AV27">
        <v>7.95</v>
      </c>
      <c r="AW27">
        <v>8.5</v>
      </c>
      <c r="AX27">
        <f t="shared" si="13"/>
        <v>8.15</v>
      </c>
      <c r="AY27">
        <f t="shared" si="14"/>
        <v>8.6999999999999993</v>
      </c>
      <c r="AZ27">
        <f t="shared" ref="AZ27:AZ37" si="15">0.15+AX27</f>
        <v>8.3000000000000007</v>
      </c>
      <c r="BA27">
        <f t="shared" si="14"/>
        <v>8.8999999999999986</v>
      </c>
      <c r="BB27">
        <f t="shared" si="11"/>
        <v>8.4500000000000011</v>
      </c>
      <c r="BC27">
        <v>9</v>
      </c>
      <c r="BE27" t="s">
        <v>42</v>
      </c>
      <c r="BF27">
        <v>7.7</v>
      </c>
      <c r="BG27">
        <v>8.0500000000000007</v>
      </c>
      <c r="BH27">
        <v>7.75</v>
      </c>
      <c r="BI27">
        <v>7.75</v>
      </c>
      <c r="BJ27">
        <v>7.5</v>
      </c>
      <c r="BK27">
        <v>7.5</v>
      </c>
      <c r="BL27">
        <v>7.3</v>
      </c>
      <c r="BM27">
        <v>7.3</v>
      </c>
    </row>
    <row r="28" spans="7:65" hidden="1" x14ac:dyDescent="0.2">
      <c r="G28" t="s">
        <v>43</v>
      </c>
      <c r="H28">
        <v>5.0999999999999996</v>
      </c>
      <c r="I28">
        <v>5.4</v>
      </c>
      <c r="J28">
        <v>5.3</v>
      </c>
      <c r="K28">
        <f t="shared" si="1"/>
        <v>5.6000000000000005</v>
      </c>
      <c r="L28">
        <f t="shared" si="2"/>
        <v>5.5</v>
      </c>
      <c r="M28">
        <f t="shared" si="3"/>
        <v>5.7500000000000009</v>
      </c>
      <c r="N28">
        <f t="shared" si="3"/>
        <v>5.65</v>
      </c>
      <c r="O28">
        <f t="shared" si="6"/>
        <v>5.8500000000000005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4.45</v>
      </c>
      <c r="W28">
        <v>4.5999999999999996</v>
      </c>
      <c r="X28">
        <v>4.4000000000000004</v>
      </c>
      <c r="Y28">
        <v>4.5999999999999996</v>
      </c>
      <c r="AA28" t="s">
        <v>43</v>
      </c>
      <c r="AB28">
        <v>6.3</v>
      </c>
      <c r="AC28">
        <v>6.75</v>
      </c>
      <c r="AD28">
        <f t="shared" si="12"/>
        <v>6.5</v>
      </c>
      <c r="AE28">
        <f t="shared" si="4"/>
        <v>6.95</v>
      </c>
      <c r="AF28">
        <f t="shared" si="9"/>
        <v>6.65</v>
      </c>
      <c r="AG28">
        <f t="shared" si="4"/>
        <v>7.15</v>
      </c>
      <c r="AH28">
        <f t="shared" si="8"/>
        <v>6.75</v>
      </c>
      <c r="AI28">
        <f t="shared" si="10"/>
        <v>7.3500000000000005</v>
      </c>
      <c r="AK28" t="s">
        <v>43</v>
      </c>
      <c r="AL28">
        <v>6.05</v>
      </c>
      <c r="AM28">
        <v>6.4</v>
      </c>
      <c r="AN28">
        <f t="shared" si="5"/>
        <v>5.95</v>
      </c>
      <c r="AO28">
        <v>6.35</v>
      </c>
      <c r="AP28">
        <v>6</v>
      </c>
      <c r="AQ28">
        <v>6.3</v>
      </c>
      <c r="AR28">
        <v>5.9</v>
      </c>
      <c r="AS28">
        <v>6.2</v>
      </c>
      <c r="AU28" t="s">
        <v>43</v>
      </c>
      <c r="AV28">
        <v>7.65</v>
      </c>
      <c r="AW28">
        <v>8.1999999999999993</v>
      </c>
      <c r="AX28">
        <f t="shared" si="13"/>
        <v>7.8500000000000005</v>
      </c>
      <c r="AY28">
        <f t="shared" si="14"/>
        <v>8.3999999999999986</v>
      </c>
      <c r="AZ28">
        <f t="shared" si="15"/>
        <v>8</v>
      </c>
      <c r="BA28">
        <f t="shared" si="14"/>
        <v>8.5999999999999979</v>
      </c>
      <c r="BB28">
        <f t="shared" si="11"/>
        <v>8.15</v>
      </c>
      <c r="BC28">
        <f t="shared" si="11"/>
        <v>8.7499999999999982</v>
      </c>
      <c r="BE28" t="s">
        <v>43</v>
      </c>
      <c r="BF28">
        <v>7.5</v>
      </c>
      <c r="BG28">
        <v>7.9</v>
      </c>
      <c r="BH28">
        <v>7.45</v>
      </c>
      <c r="BI28">
        <v>7.75</v>
      </c>
      <c r="BJ28">
        <v>7.4</v>
      </c>
      <c r="BK28">
        <v>7.5</v>
      </c>
      <c r="BL28">
        <v>7.3</v>
      </c>
      <c r="BM28">
        <v>7.3</v>
      </c>
    </row>
    <row r="29" spans="7:65" hidden="1" x14ac:dyDescent="0.2">
      <c r="G29" t="s">
        <v>81</v>
      </c>
      <c r="H29">
        <v>4.9000000000000004</v>
      </c>
      <c r="I29">
        <v>5.25</v>
      </c>
      <c r="J29">
        <v>5.0999999999999996</v>
      </c>
      <c r="K29">
        <f t="shared" si="1"/>
        <v>5.45</v>
      </c>
      <c r="L29">
        <f t="shared" si="2"/>
        <v>5.3</v>
      </c>
      <c r="M29">
        <f t="shared" si="3"/>
        <v>5.6000000000000005</v>
      </c>
      <c r="N29">
        <f t="shared" si="3"/>
        <v>5.45</v>
      </c>
      <c r="O29">
        <f t="shared" si="6"/>
        <v>5.7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4.3499999999999996</v>
      </c>
      <c r="W29">
        <v>4.5</v>
      </c>
      <c r="X29">
        <v>4.3</v>
      </c>
      <c r="Y29">
        <v>4.5</v>
      </c>
      <c r="AA29" t="s">
        <v>81</v>
      </c>
      <c r="AB29">
        <v>6.1</v>
      </c>
      <c r="AC29">
        <v>6.55</v>
      </c>
      <c r="AD29">
        <f t="shared" si="12"/>
        <v>6.3</v>
      </c>
      <c r="AE29">
        <f t="shared" si="12"/>
        <v>6.75</v>
      </c>
      <c r="AF29">
        <f t="shared" si="9"/>
        <v>6.45</v>
      </c>
      <c r="AG29">
        <f t="shared" si="4"/>
        <v>6.95</v>
      </c>
      <c r="AH29">
        <f t="shared" si="8"/>
        <v>6.55</v>
      </c>
      <c r="AI29">
        <f t="shared" si="10"/>
        <v>7.15</v>
      </c>
      <c r="AK29" t="s">
        <v>81</v>
      </c>
      <c r="AL29">
        <v>5.9</v>
      </c>
      <c r="AM29">
        <v>6.25</v>
      </c>
      <c r="AN29">
        <f t="shared" si="5"/>
        <v>5.8000000000000007</v>
      </c>
      <c r="AO29">
        <v>6.2</v>
      </c>
      <c r="AP29">
        <v>5.85</v>
      </c>
      <c r="AQ29">
        <v>6.15</v>
      </c>
      <c r="AR29">
        <v>5.8</v>
      </c>
      <c r="AS29">
        <v>6.1</v>
      </c>
      <c r="AU29" t="s">
        <v>81</v>
      </c>
      <c r="AV29">
        <v>7.4</v>
      </c>
      <c r="AW29">
        <v>8</v>
      </c>
      <c r="AX29">
        <f t="shared" si="13"/>
        <v>7.6000000000000005</v>
      </c>
      <c r="AY29">
        <f t="shared" si="14"/>
        <v>8.1999999999999993</v>
      </c>
      <c r="AZ29">
        <f t="shared" si="15"/>
        <v>7.7500000000000009</v>
      </c>
      <c r="BA29">
        <f t="shared" si="14"/>
        <v>8.3999999999999986</v>
      </c>
      <c r="BB29">
        <f t="shared" si="11"/>
        <v>7.9000000000000012</v>
      </c>
      <c r="BC29">
        <f t="shared" si="11"/>
        <v>8.5499999999999989</v>
      </c>
      <c r="BE29" t="s">
        <v>81</v>
      </c>
      <c r="BF29">
        <v>7.3</v>
      </c>
      <c r="BG29">
        <v>7.7</v>
      </c>
      <c r="BH29">
        <v>7.25</v>
      </c>
      <c r="BI29">
        <v>7.65</v>
      </c>
      <c r="BJ29">
        <v>7.2</v>
      </c>
      <c r="BK29">
        <v>7.5</v>
      </c>
      <c r="BL29">
        <v>7.3</v>
      </c>
      <c r="BM29">
        <v>7.3</v>
      </c>
    </row>
    <row r="30" spans="7:65" hidden="1" x14ac:dyDescent="0.2">
      <c r="G30" t="s">
        <v>44</v>
      </c>
      <c r="H30">
        <v>4.6500000000000004</v>
      </c>
      <c r="I30">
        <v>5</v>
      </c>
      <c r="J30">
        <v>4.8499999999999996</v>
      </c>
      <c r="K30">
        <f t="shared" si="1"/>
        <v>5.2</v>
      </c>
      <c r="L30">
        <f t="shared" si="2"/>
        <v>5.05</v>
      </c>
      <c r="M30">
        <f t="shared" si="3"/>
        <v>5.3500000000000005</v>
      </c>
      <c r="N30">
        <f t="shared" si="3"/>
        <v>5.2</v>
      </c>
      <c r="O30">
        <f t="shared" si="6"/>
        <v>5.45</v>
      </c>
      <c r="Q30" t="s">
        <v>44</v>
      </c>
      <c r="R30">
        <v>4.2</v>
      </c>
      <c r="S30">
        <v>4.4000000000000004</v>
      </c>
      <c r="T30">
        <v>4.2</v>
      </c>
      <c r="U30">
        <v>4.4000000000000004</v>
      </c>
      <c r="V30">
        <v>4.2</v>
      </c>
      <c r="W30">
        <v>4.4000000000000004</v>
      </c>
      <c r="X30">
        <v>4.1500000000000004</v>
      </c>
      <c r="Y30">
        <v>4.3499999999999996</v>
      </c>
      <c r="AA30" t="s">
        <v>44</v>
      </c>
      <c r="AB30">
        <v>5.75</v>
      </c>
      <c r="AC30">
        <v>6.2</v>
      </c>
      <c r="AD30">
        <f t="shared" si="12"/>
        <v>5.95</v>
      </c>
      <c r="AE30">
        <f t="shared" si="4"/>
        <v>6.4</v>
      </c>
      <c r="AF30">
        <f t="shared" si="9"/>
        <v>6.1000000000000005</v>
      </c>
      <c r="AG30">
        <f t="shared" si="4"/>
        <v>6.6000000000000005</v>
      </c>
      <c r="AH30">
        <f t="shared" si="8"/>
        <v>6.2</v>
      </c>
      <c r="AI30">
        <f t="shared" si="10"/>
        <v>6.8000000000000007</v>
      </c>
      <c r="AK30" t="s">
        <v>44</v>
      </c>
      <c r="AL30">
        <v>5.6</v>
      </c>
      <c r="AM30">
        <v>5.95</v>
      </c>
      <c r="AN30">
        <f t="shared" si="5"/>
        <v>5.5</v>
      </c>
      <c r="AO30">
        <v>5.95</v>
      </c>
      <c r="AP30">
        <v>5.6</v>
      </c>
      <c r="AQ30">
        <v>5.9</v>
      </c>
      <c r="AR30">
        <v>5.6</v>
      </c>
      <c r="AS30">
        <v>5.9</v>
      </c>
      <c r="AU30" t="s">
        <v>44</v>
      </c>
      <c r="AV30">
        <v>7</v>
      </c>
      <c r="AW30">
        <v>7.55</v>
      </c>
      <c r="AX30">
        <f t="shared" si="13"/>
        <v>7.2</v>
      </c>
      <c r="AY30">
        <f t="shared" si="14"/>
        <v>7.75</v>
      </c>
      <c r="AZ30">
        <f t="shared" si="15"/>
        <v>7.3500000000000005</v>
      </c>
      <c r="BA30">
        <f t="shared" si="14"/>
        <v>7.95</v>
      </c>
      <c r="BB30">
        <f t="shared" si="11"/>
        <v>7.5000000000000009</v>
      </c>
      <c r="BC30">
        <f t="shared" si="11"/>
        <v>8.1</v>
      </c>
      <c r="BE30" t="s">
        <v>44</v>
      </c>
      <c r="BF30">
        <v>7</v>
      </c>
      <c r="BG30">
        <v>7.35</v>
      </c>
      <c r="BH30">
        <v>6.95</v>
      </c>
      <c r="BI30">
        <v>7.35</v>
      </c>
      <c r="BJ30">
        <v>6.9</v>
      </c>
      <c r="BK30">
        <v>7.3</v>
      </c>
      <c r="BL30">
        <v>6.9</v>
      </c>
      <c r="BM30">
        <v>7.3</v>
      </c>
    </row>
    <row r="31" spans="7:65" hidden="1" x14ac:dyDescent="0.2">
      <c r="G31" t="s">
        <v>67</v>
      </c>
      <c r="H31">
        <v>4.4000000000000004</v>
      </c>
      <c r="I31">
        <v>4.7</v>
      </c>
      <c r="J31">
        <v>4.5999999999999996</v>
      </c>
      <c r="K31">
        <f t="shared" si="1"/>
        <v>4.9000000000000004</v>
      </c>
      <c r="L31">
        <f t="shared" si="2"/>
        <v>4.8</v>
      </c>
      <c r="M31">
        <f t="shared" si="3"/>
        <v>5.0500000000000007</v>
      </c>
      <c r="N31">
        <f t="shared" si="3"/>
        <v>4.95</v>
      </c>
      <c r="O31">
        <f t="shared" si="6"/>
        <v>5.15</v>
      </c>
      <c r="Q31" t="s">
        <v>67</v>
      </c>
      <c r="R31">
        <v>4</v>
      </c>
      <c r="S31">
        <v>4.25</v>
      </c>
      <c r="T31">
        <v>4</v>
      </c>
      <c r="U31">
        <v>4.25</v>
      </c>
      <c r="V31">
        <v>4</v>
      </c>
      <c r="W31">
        <v>4.25</v>
      </c>
      <c r="X31">
        <v>4</v>
      </c>
      <c r="Y31">
        <v>4.2</v>
      </c>
      <c r="AA31" t="s">
        <v>67</v>
      </c>
      <c r="AB31">
        <v>5.45</v>
      </c>
      <c r="AC31">
        <v>5.95</v>
      </c>
      <c r="AD31">
        <f t="shared" si="12"/>
        <v>5.65</v>
      </c>
      <c r="AE31">
        <f t="shared" si="4"/>
        <v>6.15</v>
      </c>
      <c r="AF31">
        <f t="shared" si="9"/>
        <v>5.8000000000000007</v>
      </c>
      <c r="AG31">
        <v>6.1</v>
      </c>
      <c r="AH31">
        <v>5.95</v>
      </c>
      <c r="AI31">
        <v>6.25</v>
      </c>
      <c r="AK31" t="s">
        <v>67</v>
      </c>
      <c r="AL31">
        <v>5.4</v>
      </c>
      <c r="AM31">
        <v>5.7</v>
      </c>
      <c r="AN31">
        <f t="shared" si="5"/>
        <v>5.3000000000000007</v>
      </c>
      <c r="AO31">
        <v>5.7</v>
      </c>
      <c r="AP31">
        <v>5.4</v>
      </c>
      <c r="AQ31">
        <v>5.7</v>
      </c>
      <c r="AR31">
        <v>5.4</v>
      </c>
      <c r="AS31">
        <v>5.7</v>
      </c>
      <c r="AU31" t="s">
        <v>67</v>
      </c>
      <c r="AV31">
        <v>6.65</v>
      </c>
      <c r="AW31">
        <v>7.2</v>
      </c>
      <c r="AX31">
        <f t="shared" si="13"/>
        <v>6.8500000000000005</v>
      </c>
      <c r="AY31">
        <f t="shared" si="14"/>
        <v>7.4</v>
      </c>
      <c r="AZ31">
        <f t="shared" si="15"/>
        <v>7.0000000000000009</v>
      </c>
      <c r="BA31">
        <f t="shared" si="14"/>
        <v>7.6000000000000005</v>
      </c>
      <c r="BB31">
        <f t="shared" si="11"/>
        <v>7.1500000000000012</v>
      </c>
      <c r="BC31">
        <f t="shared" si="11"/>
        <v>7.7500000000000009</v>
      </c>
      <c r="BE31" t="s">
        <v>67</v>
      </c>
      <c r="BF31">
        <v>6.65</v>
      </c>
      <c r="BG31">
        <v>7.05</v>
      </c>
      <c r="BH31">
        <v>6.7</v>
      </c>
      <c r="BI31">
        <v>7.05</v>
      </c>
      <c r="BJ31">
        <v>6.7</v>
      </c>
      <c r="BK31">
        <v>7.05</v>
      </c>
      <c r="BL31">
        <v>6.65</v>
      </c>
      <c r="BM31">
        <v>7</v>
      </c>
    </row>
    <row r="32" spans="7:65" hidden="1" x14ac:dyDescent="0.2">
      <c r="G32" t="s">
        <v>163</v>
      </c>
      <c r="H32">
        <v>5.35</v>
      </c>
      <c r="I32">
        <v>5.64</v>
      </c>
      <c r="J32">
        <v>5.5</v>
      </c>
      <c r="K32">
        <v>5.8</v>
      </c>
      <c r="L32">
        <f t="shared" si="2"/>
        <v>5.7</v>
      </c>
      <c r="M32">
        <f t="shared" si="3"/>
        <v>5.95</v>
      </c>
      <c r="N32">
        <f t="shared" si="3"/>
        <v>5.8500000000000005</v>
      </c>
      <c r="O32">
        <v>6.1</v>
      </c>
      <c r="Q32" t="s">
        <v>163</v>
      </c>
      <c r="R32">
        <v>5.6</v>
      </c>
      <c r="S32">
        <v>4.8499999999999996</v>
      </c>
      <c r="T32">
        <v>4.5999999999999996</v>
      </c>
      <c r="U32">
        <v>4.8499999999999996</v>
      </c>
      <c r="V32">
        <v>4.55</v>
      </c>
      <c r="W32">
        <v>4.75</v>
      </c>
      <c r="X32">
        <v>4.45</v>
      </c>
      <c r="Y32">
        <v>4.7</v>
      </c>
      <c r="AA32" t="s">
        <v>163</v>
      </c>
      <c r="AB32">
        <v>6.8</v>
      </c>
      <c r="AC32">
        <v>7</v>
      </c>
      <c r="AD32">
        <f t="shared" si="12"/>
        <v>7</v>
      </c>
      <c r="AE32">
        <f t="shared" si="4"/>
        <v>7.2</v>
      </c>
      <c r="AF32">
        <f t="shared" si="9"/>
        <v>7.15</v>
      </c>
      <c r="AG32">
        <v>7.4</v>
      </c>
      <c r="AH32">
        <v>7.35</v>
      </c>
      <c r="AI32">
        <v>7.6</v>
      </c>
      <c r="AK32" t="s">
        <v>163</v>
      </c>
      <c r="AL32">
        <v>6.2</v>
      </c>
      <c r="AM32">
        <v>6.55</v>
      </c>
      <c r="AN32">
        <v>6.15</v>
      </c>
      <c r="AO32">
        <v>6.5</v>
      </c>
      <c r="AP32">
        <v>6.1</v>
      </c>
      <c r="AQ32">
        <v>6.4</v>
      </c>
      <c r="AR32">
        <v>6</v>
      </c>
      <c r="AS32">
        <v>6.25</v>
      </c>
      <c r="AU32" t="s">
        <v>163</v>
      </c>
      <c r="AV32">
        <v>8.3000000000000007</v>
      </c>
      <c r="AW32">
        <v>8.6</v>
      </c>
      <c r="AX32">
        <f t="shared" si="13"/>
        <v>8.5</v>
      </c>
      <c r="AY32">
        <f t="shared" si="14"/>
        <v>8.7999999999999989</v>
      </c>
      <c r="AZ32">
        <f t="shared" si="15"/>
        <v>8.65</v>
      </c>
      <c r="BA32">
        <v>8.9499999999999993</v>
      </c>
      <c r="BB32">
        <v>8.75</v>
      </c>
      <c r="BC32">
        <v>9</v>
      </c>
      <c r="BE32" t="s">
        <v>163</v>
      </c>
      <c r="BF32">
        <v>7.7</v>
      </c>
      <c r="BG32">
        <v>8.0500000000000007</v>
      </c>
      <c r="BH32">
        <v>7.65</v>
      </c>
      <c r="BI32">
        <v>7.75</v>
      </c>
      <c r="BJ32">
        <v>7.4</v>
      </c>
      <c r="BK32">
        <v>7.5</v>
      </c>
      <c r="BL32">
        <v>7.3</v>
      </c>
      <c r="BM32">
        <v>7.3</v>
      </c>
    </row>
    <row r="33" spans="4:65" hidden="1" x14ac:dyDescent="0.2">
      <c r="G33" t="s">
        <v>50</v>
      </c>
      <c r="H33">
        <v>5.15</v>
      </c>
      <c r="I33">
        <v>5.45</v>
      </c>
      <c r="J33">
        <v>5.35</v>
      </c>
      <c r="K33">
        <f t="shared" si="1"/>
        <v>5.65</v>
      </c>
      <c r="L33">
        <f t="shared" si="2"/>
        <v>5.55</v>
      </c>
      <c r="M33">
        <f t="shared" si="3"/>
        <v>5.8000000000000007</v>
      </c>
      <c r="N33">
        <v>5.6</v>
      </c>
      <c r="O33">
        <f t="shared" si="6"/>
        <v>5.9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4.45</v>
      </c>
      <c r="W33">
        <v>4.7</v>
      </c>
      <c r="X33">
        <v>4.4000000000000004</v>
      </c>
      <c r="Y33">
        <v>4.5999999999999996</v>
      </c>
      <c r="AA33" t="s">
        <v>50</v>
      </c>
      <c r="AB33">
        <v>6.55</v>
      </c>
      <c r="AC33">
        <v>6.8</v>
      </c>
      <c r="AD33">
        <f t="shared" si="12"/>
        <v>6.75</v>
      </c>
      <c r="AE33">
        <f t="shared" si="4"/>
        <v>7</v>
      </c>
      <c r="AF33">
        <f t="shared" si="9"/>
        <v>6.9</v>
      </c>
      <c r="AG33">
        <f t="shared" si="4"/>
        <v>7.2</v>
      </c>
      <c r="AH33">
        <f t="shared" si="8"/>
        <v>7</v>
      </c>
      <c r="AI33">
        <f t="shared" si="10"/>
        <v>7.4</v>
      </c>
      <c r="AK33" t="s">
        <v>50</v>
      </c>
      <c r="AL33">
        <v>6.05</v>
      </c>
      <c r="AM33">
        <v>6.4</v>
      </c>
      <c r="AN33">
        <v>6.05</v>
      </c>
      <c r="AO33">
        <v>6.4</v>
      </c>
      <c r="AP33">
        <v>6</v>
      </c>
      <c r="AQ33">
        <v>6.3</v>
      </c>
      <c r="AR33">
        <v>5.9</v>
      </c>
      <c r="AS33">
        <v>6.2</v>
      </c>
      <c r="AU33" t="s">
        <v>50</v>
      </c>
      <c r="AV33">
        <v>8</v>
      </c>
      <c r="AW33">
        <v>8.25</v>
      </c>
      <c r="AX33">
        <f t="shared" si="13"/>
        <v>8.1999999999999993</v>
      </c>
      <c r="AY33">
        <f t="shared" si="14"/>
        <v>8.4499999999999993</v>
      </c>
      <c r="AZ33">
        <f t="shared" si="15"/>
        <v>8.35</v>
      </c>
      <c r="BA33">
        <f t="shared" si="14"/>
        <v>8.6499999999999986</v>
      </c>
      <c r="BB33">
        <f t="shared" si="11"/>
        <v>8.5</v>
      </c>
      <c r="BC33">
        <f t="shared" si="11"/>
        <v>8.7999999999999989</v>
      </c>
      <c r="BE33" t="s">
        <v>50</v>
      </c>
      <c r="BF33">
        <v>7.5</v>
      </c>
      <c r="BG33">
        <v>7.9</v>
      </c>
      <c r="BH33">
        <v>7.45</v>
      </c>
      <c r="BI33">
        <v>7.75</v>
      </c>
      <c r="BJ33">
        <v>7.4</v>
      </c>
      <c r="BK33">
        <v>7.5</v>
      </c>
      <c r="BL33">
        <v>7.3</v>
      </c>
      <c r="BM33">
        <v>7.3</v>
      </c>
    </row>
    <row r="34" spans="4:65" hidden="1" x14ac:dyDescent="0.2">
      <c r="G34" t="s">
        <v>76</v>
      </c>
      <c r="H34">
        <v>5</v>
      </c>
      <c r="I34">
        <v>5.25</v>
      </c>
      <c r="J34">
        <v>5.2</v>
      </c>
      <c r="K34">
        <f t="shared" si="1"/>
        <v>5.45</v>
      </c>
      <c r="L34">
        <f t="shared" si="2"/>
        <v>5.4</v>
      </c>
      <c r="M34">
        <f t="shared" si="3"/>
        <v>5.6000000000000005</v>
      </c>
      <c r="N34">
        <v>4.45</v>
      </c>
      <c r="O34">
        <f t="shared" si="6"/>
        <v>5.7</v>
      </c>
      <c r="Q34" t="s">
        <v>76</v>
      </c>
      <c r="R34">
        <v>4.4000000000000004</v>
      </c>
      <c r="S34">
        <v>4.5999999999999996</v>
      </c>
      <c r="T34">
        <v>4.4000000000000004</v>
      </c>
      <c r="U34">
        <v>4.5999999999999996</v>
      </c>
      <c r="V34">
        <v>4.3499999999999996</v>
      </c>
      <c r="W34">
        <v>4.5999999999999996</v>
      </c>
      <c r="X34">
        <v>4.3</v>
      </c>
      <c r="Y34">
        <v>4.55</v>
      </c>
      <c r="AA34" t="s">
        <v>76</v>
      </c>
      <c r="AB34">
        <v>6.3</v>
      </c>
      <c r="AC34">
        <v>6.55</v>
      </c>
      <c r="AD34">
        <f t="shared" si="12"/>
        <v>6.5</v>
      </c>
      <c r="AE34">
        <f t="shared" si="4"/>
        <v>6.75</v>
      </c>
      <c r="AF34">
        <f t="shared" si="9"/>
        <v>6.65</v>
      </c>
      <c r="AG34">
        <f t="shared" si="4"/>
        <v>6.95</v>
      </c>
      <c r="AH34">
        <f t="shared" si="8"/>
        <v>6.75</v>
      </c>
      <c r="AI34">
        <f t="shared" si="10"/>
        <v>7.15</v>
      </c>
      <c r="AK34" t="s">
        <v>76</v>
      </c>
      <c r="AL34">
        <v>5.9</v>
      </c>
      <c r="AM34">
        <v>6.2</v>
      </c>
      <c r="AN34">
        <v>5.9</v>
      </c>
      <c r="AO34">
        <v>6.2</v>
      </c>
      <c r="AP34">
        <v>5.85</v>
      </c>
      <c r="AQ34">
        <v>6.15</v>
      </c>
      <c r="AR34">
        <v>5.8</v>
      </c>
      <c r="AS34">
        <v>6.1</v>
      </c>
      <c r="AU34" t="s">
        <v>76</v>
      </c>
      <c r="AV34">
        <v>7.65</v>
      </c>
      <c r="AW34">
        <v>8</v>
      </c>
      <c r="AX34">
        <f t="shared" si="13"/>
        <v>7.8500000000000005</v>
      </c>
      <c r="AY34">
        <f t="shared" si="14"/>
        <v>8.1999999999999993</v>
      </c>
      <c r="AZ34">
        <f t="shared" si="15"/>
        <v>8</v>
      </c>
      <c r="BA34">
        <f t="shared" si="14"/>
        <v>8.3999999999999986</v>
      </c>
      <c r="BB34">
        <f t="shared" si="11"/>
        <v>8.15</v>
      </c>
      <c r="BC34">
        <f t="shared" si="11"/>
        <v>8.5499999999999989</v>
      </c>
      <c r="BE34" t="s">
        <v>76</v>
      </c>
      <c r="BF34">
        <v>7.3</v>
      </c>
      <c r="BG34">
        <v>7.7</v>
      </c>
      <c r="BH34">
        <v>7.25</v>
      </c>
      <c r="BI34">
        <v>7.65</v>
      </c>
      <c r="BJ34">
        <v>7.2</v>
      </c>
      <c r="BK34">
        <v>7.5</v>
      </c>
      <c r="BL34">
        <v>7.17</v>
      </c>
      <c r="BM34">
        <v>7.3</v>
      </c>
    </row>
    <row r="35" spans="4:65" hidden="1" x14ac:dyDescent="0.2">
      <c r="G35" t="s">
        <v>77</v>
      </c>
      <c r="H35">
        <v>4.8499999999999996</v>
      </c>
      <c r="I35">
        <v>5.0999999999999996</v>
      </c>
      <c r="J35">
        <v>5.05</v>
      </c>
      <c r="K35">
        <f t="shared" si="1"/>
        <v>5.3</v>
      </c>
      <c r="L35">
        <f t="shared" si="2"/>
        <v>5.25</v>
      </c>
      <c r="M35">
        <f t="shared" si="3"/>
        <v>5.45</v>
      </c>
      <c r="N35">
        <v>5.3</v>
      </c>
      <c r="O35">
        <f t="shared" si="6"/>
        <v>5.55</v>
      </c>
      <c r="Q35" t="s">
        <v>77</v>
      </c>
      <c r="R35">
        <v>4.3</v>
      </c>
      <c r="S35">
        <v>4.5</v>
      </c>
      <c r="T35">
        <v>4.3</v>
      </c>
      <c r="U35">
        <v>4.5</v>
      </c>
      <c r="V35">
        <v>4.25</v>
      </c>
      <c r="W35">
        <v>4.5</v>
      </c>
      <c r="X35">
        <v>4.25</v>
      </c>
      <c r="Y35">
        <v>4.45</v>
      </c>
      <c r="AA35" t="s">
        <v>77</v>
      </c>
      <c r="AB35">
        <v>6.1</v>
      </c>
      <c r="AC35">
        <v>6.4</v>
      </c>
      <c r="AD35">
        <v>6.3</v>
      </c>
      <c r="AE35">
        <f t="shared" si="12"/>
        <v>6.6000000000000005</v>
      </c>
      <c r="AF35">
        <f t="shared" si="9"/>
        <v>6.45</v>
      </c>
      <c r="AG35">
        <f t="shared" si="4"/>
        <v>6.8000000000000007</v>
      </c>
      <c r="AH35">
        <f t="shared" si="8"/>
        <v>6.55</v>
      </c>
      <c r="AI35">
        <f t="shared" si="10"/>
        <v>7.0000000000000009</v>
      </c>
      <c r="AK35" t="s">
        <v>77</v>
      </c>
      <c r="AL35">
        <v>5.75</v>
      </c>
      <c r="AM35">
        <v>6.1</v>
      </c>
      <c r="AN35">
        <v>5.75</v>
      </c>
      <c r="AO35">
        <v>6.1</v>
      </c>
      <c r="AP35">
        <v>5.75</v>
      </c>
      <c r="AQ35">
        <v>6</v>
      </c>
      <c r="AR35">
        <v>5.7</v>
      </c>
      <c r="AS35">
        <v>6</v>
      </c>
      <c r="AU35" t="s">
        <v>77</v>
      </c>
      <c r="AV35">
        <v>7.4</v>
      </c>
      <c r="AW35">
        <v>7.8</v>
      </c>
      <c r="AX35">
        <f t="shared" si="13"/>
        <v>7.6000000000000005</v>
      </c>
      <c r="AY35">
        <f t="shared" si="14"/>
        <v>8</v>
      </c>
      <c r="AZ35">
        <f t="shared" si="15"/>
        <v>7.7500000000000009</v>
      </c>
      <c r="BA35">
        <f t="shared" si="14"/>
        <v>8.1999999999999993</v>
      </c>
      <c r="BB35">
        <f t="shared" si="11"/>
        <v>7.9000000000000012</v>
      </c>
      <c r="BC35">
        <f t="shared" si="11"/>
        <v>8.35</v>
      </c>
      <c r="BE35" t="s">
        <v>77</v>
      </c>
      <c r="BF35">
        <v>7.15</v>
      </c>
      <c r="BG35">
        <v>7.54</v>
      </c>
      <c r="BH35">
        <v>7.1</v>
      </c>
      <c r="BI35">
        <v>7.5</v>
      </c>
      <c r="BJ35">
        <v>7.1</v>
      </c>
      <c r="BK35">
        <v>7.45</v>
      </c>
      <c r="BL35">
        <v>7</v>
      </c>
      <c r="BM35">
        <v>7.3</v>
      </c>
    </row>
    <row r="36" spans="4:65" hidden="1" x14ac:dyDescent="0.2">
      <c r="G36" t="s">
        <v>46</v>
      </c>
      <c r="H36">
        <v>4.7</v>
      </c>
      <c r="I36">
        <v>4.95</v>
      </c>
      <c r="J36">
        <v>4.9000000000000004</v>
      </c>
      <c r="K36">
        <f t="shared" si="1"/>
        <v>5.15</v>
      </c>
      <c r="L36">
        <f t="shared" si="2"/>
        <v>5.1000000000000005</v>
      </c>
      <c r="M36">
        <f t="shared" si="3"/>
        <v>5.3000000000000007</v>
      </c>
      <c r="N36">
        <v>5.15</v>
      </c>
      <c r="O36">
        <f t="shared" si="6"/>
        <v>5.4</v>
      </c>
      <c r="Q36" t="s">
        <v>46</v>
      </c>
      <c r="R36">
        <v>4.2</v>
      </c>
      <c r="S36">
        <v>4.45</v>
      </c>
      <c r="T36">
        <v>4.2</v>
      </c>
      <c r="U36">
        <v>4.45</v>
      </c>
      <c r="V36">
        <v>4.2</v>
      </c>
      <c r="W36">
        <v>4.4000000000000004</v>
      </c>
      <c r="X36">
        <v>4.1500000000000004</v>
      </c>
      <c r="Y36">
        <v>4.4000000000000004</v>
      </c>
      <c r="AA36" t="s">
        <v>46</v>
      </c>
      <c r="AB36">
        <v>5.9</v>
      </c>
      <c r="AC36">
        <v>6.2</v>
      </c>
      <c r="AD36">
        <v>6.1</v>
      </c>
      <c r="AE36">
        <f t="shared" si="4"/>
        <v>6.4</v>
      </c>
      <c r="AF36">
        <f t="shared" si="9"/>
        <v>6.25</v>
      </c>
      <c r="AG36">
        <f t="shared" si="4"/>
        <v>6.6000000000000005</v>
      </c>
      <c r="AH36">
        <f t="shared" si="8"/>
        <v>6.35</v>
      </c>
      <c r="AI36">
        <f t="shared" si="10"/>
        <v>6.8000000000000007</v>
      </c>
      <c r="AK36" t="s">
        <v>46</v>
      </c>
      <c r="AL36">
        <v>5.6</v>
      </c>
      <c r="AM36">
        <v>5.95</v>
      </c>
      <c r="AN36">
        <v>5.6</v>
      </c>
      <c r="AO36">
        <v>5.95</v>
      </c>
      <c r="AP36">
        <v>5.6</v>
      </c>
      <c r="AQ36">
        <v>5.95</v>
      </c>
      <c r="AR36">
        <v>5.6</v>
      </c>
      <c r="AS36">
        <v>5.9</v>
      </c>
      <c r="AU36" t="s">
        <v>46</v>
      </c>
      <c r="AV36">
        <v>7.2</v>
      </c>
      <c r="AW36">
        <v>7.6</v>
      </c>
      <c r="AX36">
        <f t="shared" si="13"/>
        <v>7.4</v>
      </c>
      <c r="AY36">
        <f t="shared" si="14"/>
        <v>7.8</v>
      </c>
      <c r="AZ36">
        <f t="shared" si="15"/>
        <v>7.5500000000000007</v>
      </c>
      <c r="BA36">
        <f t="shared" si="14"/>
        <v>8</v>
      </c>
      <c r="BB36">
        <f t="shared" si="11"/>
        <v>7.7000000000000011</v>
      </c>
      <c r="BC36">
        <v>8</v>
      </c>
      <c r="BE36" t="s">
        <v>46</v>
      </c>
      <c r="BF36">
        <v>7</v>
      </c>
      <c r="BG36">
        <v>7.35</v>
      </c>
      <c r="BH36">
        <v>6.95</v>
      </c>
      <c r="BI36">
        <v>7.35</v>
      </c>
      <c r="BJ36">
        <v>6.9</v>
      </c>
      <c r="BK36">
        <v>7.3</v>
      </c>
      <c r="BL36">
        <v>6.9</v>
      </c>
      <c r="BM36">
        <v>7.3</v>
      </c>
    </row>
    <row r="37" spans="4:65" hidden="1" x14ac:dyDescent="0.2">
      <c r="G37" t="s">
        <v>82</v>
      </c>
      <c r="H37">
        <v>4.5999999999999996</v>
      </c>
      <c r="I37">
        <v>4.8</v>
      </c>
      <c r="J37">
        <v>4.8</v>
      </c>
      <c r="K37">
        <f t="shared" si="1"/>
        <v>5</v>
      </c>
      <c r="L37">
        <f t="shared" si="2"/>
        <v>5</v>
      </c>
      <c r="M37">
        <f t="shared" si="3"/>
        <v>5.15</v>
      </c>
      <c r="N37">
        <v>5</v>
      </c>
      <c r="O37">
        <f t="shared" si="6"/>
        <v>5.25</v>
      </c>
      <c r="Q37" t="s">
        <v>82</v>
      </c>
      <c r="R37">
        <v>4.0999999999999996</v>
      </c>
      <c r="S37">
        <v>4.3</v>
      </c>
      <c r="T37">
        <v>4.0999999999999996</v>
      </c>
      <c r="U37">
        <v>4.3</v>
      </c>
      <c r="V37">
        <v>4.0999999999999996</v>
      </c>
      <c r="W37">
        <v>4.3499999999999996</v>
      </c>
      <c r="X37">
        <v>4.0999999999999996</v>
      </c>
      <c r="Y37">
        <v>4.3</v>
      </c>
      <c r="AA37" t="s">
        <v>82</v>
      </c>
      <c r="AB37">
        <v>5.75</v>
      </c>
      <c r="AC37">
        <v>6.1</v>
      </c>
      <c r="AD37">
        <f t="shared" si="12"/>
        <v>5.95</v>
      </c>
      <c r="AE37">
        <f t="shared" si="4"/>
        <v>6.3</v>
      </c>
      <c r="AF37">
        <f t="shared" si="9"/>
        <v>6.1000000000000005</v>
      </c>
      <c r="AG37">
        <f t="shared" si="4"/>
        <v>6.5</v>
      </c>
      <c r="AH37">
        <v>6.3</v>
      </c>
      <c r="AI37">
        <f t="shared" si="10"/>
        <v>6.7</v>
      </c>
      <c r="AK37" t="s">
        <v>82</v>
      </c>
      <c r="AL37">
        <v>5.5</v>
      </c>
      <c r="AM37">
        <v>5.8</v>
      </c>
      <c r="AN37">
        <v>5.5</v>
      </c>
      <c r="AO37">
        <v>5.8</v>
      </c>
      <c r="AP37">
        <v>5.5</v>
      </c>
      <c r="AQ37">
        <v>5.8</v>
      </c>
      <c r="AR37">
        <v>5.5</v>
      </c>
      <c r="AS37">
        <v>5.8</v>
      </c>
      <c r="AU37" t="s">
        <v>82</v>
      </c>
      <c r="AV37">
        <v>7</v>
      </c>
      <c r="AW37">
        <v>7.4</v>
      </c>
      <c r="AX37">
        <f t="shared" si="13"/>
        <v>7.2</v>
      </c>
      <c r="AY37">
        <f t="shared" si="14"/>
        <v>7.6000000000000005</v>
      </c>
      <c r="AZ37">
        <f t="shared" si="15"/>
        <v>7.3500000000000005</v>
      </c>
      <c r="BA37">
        <v>7.6</v>
      </c>
      <c r="BB37">
        <f t="shared" si="11"/>
        <v>7.5000000000000009</v>
      </c>
      <c r="BC37">
        <v>7.6</v>
      </c>
      <c r="BE37" t="s">
        <v>82</v>
      </c>
      <c r="BF37">
        <v>6.8</v>
      </c>
      <c r="BG37">
        <v>7.2</v>
      </c>
      <c r="BH37">
        <v>6.8</v>
      </c>
      <c r="BI37">
        <v>7.2</v>
      </c>
      <c r="BJ37">
        <v>6.8</v>
      </c>
      <c r="BK37">
        <v>7.15</v>
      </c>
      <c r="BL37">
        <v>6.75</v>
      </c>
      <c r="BM37">
        <v>7.15</v>
      </c>
    </row>
    <row r="38" spans="4:65" hidden="1" x14ac:dyDescent="0.2">
      <c r="G38" t="s">
        <v>45</v>
      </c>
      <c r="H38">
        <v>4.3499999999999996</v>
      </c>
      <c r="I38">
        <v>4.55</v>
      </c>
      <c r="J38">
        <v>4.55</v>
      </c>
      <c r="K38">
        <f t="shared" si="1"/>
        <v>4.75</v>
      </c>
      <c r="L38">
        <f t="shared" si="2"/>
        <v>4.75</v>
      </c>
      <c r="M38">
        <f t="shared" si="3"/>
        <v>4.9000000000000004</v>
      </c>
      <c r="N38">
        <v>4.8</v>
      </c>
      <c r="O38">
        <f t="shared" si="6"/>
        <v>5</v>
      </c>
      <c r="Q38" t="s">
        <v>45</v>
      </c>
      <c r="R38">
        <v>3.95</v>
      </c>
      <c r="S38">
        <v>4.1500000000000004</v>
      </c>
      <c r="T38">
        <v>3.95</v>
      </c>
      <c r="U38">
        <v>4.1500000000000004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5.45</v>
      </c>
      <c r="AC38">
        <v>5.6</v>
      </c>
      <c r="AD38">
        <f t="shared" si="12"/>
        <v>5.65</v>
      </c>
      <c r="AE38">
        <v>5.65</v>
      </c>
      <c r="AF38">
        <v>5.7</v>
      </c>
      <c r="AG38">
        <v>5.7</v>
      </c>
      <c r="AH38">
        <v>5.85</v>
      </c>
      <c r="AI38">
        <v>5.85</v>
      </c>
      <c r="AK38" t="s">
        <v>45</v>
      </c>
      <c r="AL38">
        <v>5.3</v>
      </c>
      <c r="AM38">
        <v>5.55</v>
      </c>
      <c r="AN38">
        <v>5.3</v>
      </c>
      <c r="AO38">
        <v>5.55</v>
      </c>
      <c r="AP38">
        <v>5.3</v>
      </c>
      <c r="AQ38">
        <v>5.6</v>
      </c>
      <c r="AR38">
        <v>5.3</v>
      </c>
      <c r="AS38">
        <v>5.6</v>
      </c>
      <c r="AU38" t="s">
        <v>45</v>
      </c>
      <c r="AV38">
        <v>6.65</v>
      </c>
      <c r="AW38">
        <v>7.05</v>
      </c>
      <c r="AX38">
        <f t="shared" si="13"/>
        <v>6.8500000000000005</v>
      </c>
      <c r="AY38">
        <v>6.95</v>
      </c>
      <c r="AZ38">
        <v>6.9</v>
      </c>
      <c r="BA38">
        <v>6.9</v>
      </c>
      <c r="BB38">
        <v>6.9</v>
      </c>
      <c r="BC38">
        <v>6.9</v>
      </c>
      <c r="BE38" t="s">
        <v>45</v>
      </c>
      <c r="BF38">
        <v>6.55</v>
      </c>
      <c r="BG38">
        <v>6.9</v>
      </c>
      <c r="BH38">
        <v>6.55</v>
      </c>
      <c r="BI38">
        <v>6.9</v>
      </c>
      <c r="BJ38">
        <v>6.55</v>
      </c>
      <c r="BK38">
        <v>6.9</v>
      </c>
      <c r="BL38">
        <v>6.55</v>
      </c>
      <c r="BM38">
        <v>6.9</v>
      </c>
    </row>
    <row r="39" spans="4:65" hidden="1" x14ac:dyDescent="0.2">
      <c r="G39" t="s">
        <v>68</v>
      </c>
      <c r="H39">
        <v>4.0999999999999996</v>
      </c>
      <c r="I39">
        <v>4.1500000000000004</v>
      </c>
      <c r="J39">
        <v>4.3</v>
      </c>
      <c r="K39">
        <f t="shared" si="1"/>
        <v>4.3500000000000005</v>
      </c>
      <c r="L39">
        <f t="shared" si="2"/>
        <v>4.5</v>
      </c>
      <c r="M39">
        <f t="shared" si="3"/>
        <v>4.5000000000000009</v>
      </c>
      <c r="N39">
        <v>4.5999999999999996</v>
      </c>
      <c r="O39">
        <f t="shared" si="6"/>
        <v>4.6000000000000005</v>
      </c>
      <c r="Q39" t="s">
        <v>68</v>
      </c>
      <c r="R39">
        <v>3.75</v>
      </c>
      <c r="S39">
        <v>4</v>
      </c>
      <c r="T39">
        <v>3.75</v>
      </c>
      <c r="U39">
        <v>4</v>
      </c>
      <c r="V39">
        <v>3.85</v>
      </c>
      <c r="W39">
        <v>4.05</v>
      </c>
      <c r="X39">
        <v>3.85</v>
      </c>
      <c r="Y39">
        <v>4.0999999999999996</v>
      </c>
      <c r="AA39" t="s">
        <v>68</v>
      </c>
      <c r="AB39">
        <v>5.0999999999999996</v>
      </c>
      <c r="AC39">
        <v>5.0999999999999996</v>
      </c>
      <c r="AD39">
        <f t="shared" si="12"/>
        <v>5.3</v>
      </c>
      <c r="AE39">
        <v>5.0999999999999996</v>
      </c>
      <c r="AF39">
        <v>5.25</v>
      </c>
      <c r="AG39">
        <v>5.25</v>
      </c>
      <c r="AH39">
        <f t="shared" si="8"/>
        <v>5.35</v>
      </c>
      <c r="AI39">
        <v>5.35</v>
      </c>
      <c r="AK39" t="s">
        <v>68</v>
      </c>
      <c r="AL39">
        <v>5.0999999999999996</v>
      </c>
      <c r="AM39">
        <v>5.0999999999999996</v>
      </c>
      <c r="AN39">
        <v>5.0999999999999996</v>
      </c>
      <c r="AO39">
        <v>5.0999999999999996</v>
      </c>
      <c r="AP39">
        <v>5.0999999999999996</v>
      </c>
      <c r="AQ39">
        <v>5.25</v>
      </c>
      <c r="AR39">
        <v>5.15</v>
      </c>
      <c r="AS39">
        <v>5.35</v>
      </c>
      <c r="AU39" t="s">
        <v>68</v>
      </c>
      <c r="AV39">
        <v>6.35</v>
      </c>
      <c r="AW39">
        <v>6.45</v>
      </c>
      <c r="AX39">
        <v>6.35</v>
      </c>
      <c r="AY39">
        <v>6.35</v>
      </c>
      <c r="AZ39">
        <v>6.3</v>
      </c>
      <c r="BA39">
        <v>6.3</v>
      </c>
      <c r="BB39">
        <v>6.35</v>
      </c>
      <c r="BC39">
        <v>6.35</v>
      </c>
      <c r="BE39" t="s">
        <v>68</v>
      </c>
      <c r="BF39">
        <v>6.3</v>
      </c>
      <c r="BG39">
        <v>6.44</v>
      </c>
      <c r="BH39">
        <v>6.35</v>
      </c>
      <c r="BI39">
        <v>6.35</v>
      </c>
      <c r="BJ39">
        <v>6.35</v>
      </c>
      <c r="BK39">
        <v>6.35</v>
      </c>
      <c r="BL39">
        <v>6.35</v>
      </c>
      <c r="BM39">
        <v>6.35</v>
      </c>
    </row>
    <row r="40" spans="4:65" hidden="1" x14ac:dyDescent="0.2">
      <c r="G40" t="s">
        <v>71</v>
      </c>
      <c r="H40" s="238">
        <v>174</v>
      </c>
      <c r="I40" s="238"/>
      <c r="J40" s="238">
        <v>197</v>
      </c>
      <c r="K40" s="238"/>
      <c r="L40" s="238">
        <v>220</v>
      </c>
      <c r="M40" s="238"/>
      <c r="N40" s="238">
        <v>243</v>
      </c>
      <c r="O40" s="238"/>
      <c r="R40" s="238">
        <v>174</v>
      </c>
      <c r="S40" s="238"/>
      <c r="T40" s="238">
        <v>197</v>
      </c>
      <c r="U40" s="238"/>
      <c r="V40" s="238">
        <v>220</v>
      </c>
      <c r="W40" s="238"/>
      <c r="X40" s="238">
        <v>243</v>
      </c>
      <c r="Y40" s="238"/>
      <c r="AB40" s="238">
        <v>192</v>
      </c>
      <c r="AC40" s="238"/>
      <c r="AD40" s="238">
        <v>215</v>
      </c>
      <c r="AE40" s="238"/>
      <c r="AF40" s="238">
        <v>238</v>
      </c>
      <c r="AG40" s="238"/>
      <c r="AH40" s="238">
        <v>261</v>
      </c>
      <c r="AI40" s="238"/>
      <c r="AL40" s="238">
        <v>192</v>
      </c>
      <c r="AM40" s="238"/>
      <c r="AN40" s="238">
        <v>215</v>
      </c>
      <c r="AO40" s="238"/>
      <c r="AP40" s="238">
        <v>238</v>
      </c>
      <c r="AQ40" s="238"/>
      <c r="AR40" s="238">
        <v>261</v>
      </c>
      <c r="AS40" s="238"/>
      <c r="AV40" s="238">
        <v>214</v>
      </c>
      <c r="AW40" s="238"/>
      <c r="AX40" s="238">
        <v>237</v>
      </c>
      <c r="AY40" s="238"/>
      <c r="AZ40" s="238">
        <v>260</v>
      </c>
      <c r="BA40" s="238"/>
      <c r="BB40" s="238">
        <v>283</v>
      </c>
      <c r="BC40" s="238"/>
      <c r="BF40" s="238">
        <v>214</v>
      </c>
      <c r="BG40" s="238"/>
      <c r="BH40" s="238">
        <v>237</v>
      </c>
      <c r="BI40" s="238"/>
      <c r="BJ40" s="238">
        <v>260</v>
      </c>
      <c r="BK40" s="238"/>
      <c r="BL40" s="238">
        <v>283</v>
      </c>
      <c r="BM40" s="238"/>
    </row>
    <row r="41" spans="4:65" hidden="1" x14ac:dyDescent="0.2">
      <c r="G41" t="s">
        <v>72</v>
      </c>
      <c r="H41" s="238">
        <v>50</v>
      </c>
      <c r="I41" s="238"/>
      <c r="J41" s="238">
        <v>60</v>
      </c>
      <c r="K41" s="238"/>
      <c r="L41" s="238">
        <v>70</v>
      </c>
      <c r="M41" s="238"/>
      <c r="N41" s="238">
        <v>80</v>
      </c>
      <c r="O41" s="238"/>
      <c r="R41" s="238">
        <v>50</v>
      </c>
      <c r="S41" s="238"/>
      <c r="T41" s="238">
        <v>60</v>
      </c>
      <c r="U41" s="238"/>
      <c r="V41" s="238">
        <v>70</v>
      </c>
      <c r="W41" s="238"/>
      <c r="X41" s="238">
        <v>80</v>
      </c>
      <c r="Y41" s="238"/>
      <c r="AB41" s="238">
        <v>50</v>
      </c>
      <c r="AC41" s="238"/>
      <c r="AD41" s="238">
        <v>60</v>
      </c>
      <c r="AE41" s="238"/>
      <c r="AF41" s="238">
        <v>70</v>
      </c>
      <c r="AG41" s="238"/>
      <c r="AH41" s="238">
        <v>80</v>
      </c>
      <c r="AI41" s="238"/>
      <c r="AL41" s="238">
        <v>50</v>
      </c>
      <c r="AM41" s="238"/>
      <c r="AN41" s="238">
        <v>60</v>
      </c>
      <c r="AO41" s="238"/>
      <c r="AP41" s="238">
        <v>70</v>
      </c>
      <c r="AQ41" s="238"/>
      <c r="AR41" s="238">
        <v>80</v>
      </c>
      <c r="AS41" s="238"/>
      <c r="AV41" s="238">
        <v>50</v>
      </c>
      <c r="AW41" s="238"/>
      <c r="AX41" s="238">
        <v>60</v>
      </c>
      <c r="AY41" s="238"/>
      <c r="AZ41" s="238">
        <v>70</v>
      </c>
      <c r="BA41" s="238"/>
      <c r="BB41" s="238">
        <v>80</v>
      </c>
      <c r="BC41" s="238"/>
      <c r="BF41" s="238">
        <v>50</v>
      </c>
      <c r="BG41" s="238"/>
      <c r="BH41" s="238">
        <v>60</v>
      </c>
      <c r="BI41" s="238"/>
      <c r="BJ41" s="238">
        <v>70</v>
      </c>
      <c r="BK41" s="238"/>
      <c r="BL41" s="238">
        <v>80</v>
      </c>
      <c r="BM41" s="238"/>
    </row>
    <row r="42" spans="4:65" hidden="1" x14ac:dyDescent="0.2">
      <c r="E42" t="s">
        <v>49</v>
      </c>
      <c r="G42" t="str">
        <f>+DIM!$AK$20&amp;"+"&amp;DIM!$S$14</f>
        <v>151+250</v>
      </c>
      <c r="H42" s="100">
        <f>+VLOOKUP($G$42,$G$16:$O$39,2,FALSE)</f>
        <v>5.5</v>
      </c>
      <c r="I42" s="100">
        <f>+VLOOKUP($G$42,$G$16:$O$39,3,FALSE)</f>
        <v>5.8</v>
      </c>
      <c r="J42" s="100">
        <f>+VLOOKUP($G$42,$G$16:$O$39,4,FALSE)</f>
        <v>5.7</v>
      </c>
      <c r="K42" s="100">
        <f>+VLOOKUP($G$42,$G$16:$O$39,5,FALSE)</f>
        <v>6</v>
      </c>
      <c r="L42" s="100">
        <f>+VLOOKUP($G$42,$G$16:$O$39,6,FALSE)</f>
        <v>5.9</v>
      </c>
      <c r="M42" s="100">
        <f>+VLOOKUP($G$42,$G$16:$O$39,7,FALSE)</f>
        <v>6.15</v>
      </c>
      <c r="N42" s="100">
        <f>+VLOOKUP($G$42,$G$16:$O$39,8,FALSE)</f>
        <v>6.0500000000000007</v>
      </c>
      <c r="O42" s="100">
        <f>+VLOOKUP($G$42,$G$16:$O$39,9,FALSE)</f>
        <v>6.25</v>
      </c>
      <c r="Q42" t="str">
        <f>+DIM!$AK$20&amp;"+"&amp;DIM!$S$14</f>
        <v>151+250</v>
      </c>
      <c r="R42" s="100">
        <f>+VLOOKUP($Q$42,$Q$16:$Y$39,2,FALSE)</f>
        <v>4.75</v>
      </c>
      <c r="S42" s="100">
        <f>+VLOOKUP($Q$42,$Q$16:$Y$39,3,FALSE)</f>
        <v>5</v>
      </c>
      <c r="T42" s="100">
        <f>+VLOOKUP($Q$42,$Q$16:$Y$39,4,FALSE)</f>
        <v>4.7</v>
      </c>
      <c r="U42" s="100">
        <f>+VLOOKUP($Q$42,$Q$16:$Y$39,5,FALSE)</f>
        <v>4.95</v>
      </c>
      <c r="V42" s="100">
        <f>+VLOOKUP($Q$42,$Q$16:$Y$39,6,FALSE)</f>
        <v>4.6500000000000004</v>
      </c>
      <c r="W42" s="100">
        <f>+VLOOKUP($Q$42,$Q$16:$Y$39,7,FALSE)</f>
        <v>4.8499999999999996</v>
      </c>
      <c r="X42" s="100">
        <f>+VLOOKUP($Q$42,$Q$16:$Y$39,8,FALSE)</f>
        <v>4.55</v>
      </c>
      <c r="Y42" s="100">
        <f>+VLOOKUP($Q$42,$Q$14:$Y$39,9,FALSE)</f>
        <v>4.7</v>
      </c>
      <c r="AA42" t="str">
        <f>+DIM!$AK$20&amp;"+"&amp;DIM!$S$14</f>
        <v>151+250</v>
      </c>
      <c r="AB42" s="100">
        <f>+VLOOKUP($AA$42,$AA$16:$AI$41,2,FALSE)</f>
        <v>6.8</v>
      </c>
      <c r="AC42" s="100">
        <f>+VLOOKUP($AA$42,$AA$16:$AI$41,3,FALSE)</f>
        <v>7.2</v>
      </c>
      <c r="AD42" s="100">
        <f>+VLOOKUP($AA$42,$AA$16:$AI$41,4,FALSE)</f>
        <v>7</v>
      </c>
      <c r="AE42" s="100">
        <f>+VLOOKUP($AA$42,$AA$16:$AI$41,5,FALSE)</f>
        <v>7.4</v>
      </c>
      <c r="AF42" s="100">
        <f>+VLOOKUP($AA$42,$AA$16:$AI$41,6,FALSE)</f>
        <v>7.15</v>
      </c>
      <c r="AG42" s="100">
        <f>+VLOOKUP($AA$42,$AA$16:$AI$41,7,FALSE)</f>
        <v>7.6000000000000005</v>
      </c>
      <c r="AH42" s="100">
        <f>+VLOOKUP($AA$42,$AA$16:$AI$41,8,FALSE)</f>
        <v>7.25</v>
      </c>
      <c r="AI42" s="100">
        <f>+VLOOKUP($AA$42,$AA$16:$AI$41,9,FALSE)</f>
        <v>7.8000000000000007</v>
      </c>
      <c r="AK42" t="str">
        <f>+DIM!$AK$20&amp;"+"&amp;DIM!$S$14</f>
        <v>151+250</v>
      </c>
      <c r="AL42" s="100">
        <f>+VLOOKUP($AK$42,$AK$16:$AS$41,2,FALSE)</f>
        <v>6.4</v>
      </c>
      <c r="AM42" s="100">
        <f>+VLOOKUP($AK$42,$AK$16:$AS$41,3,FALSE)</f>
        <v>6.75</v>
      </c>
      <c r="AN42" s="100">
        <f>+VLOOKUP($AK$42,$AK$16:$AS$41,4,FALSE)</f>
        <v>6.3000000000000007</v>
      </c>
      <c r="AO42" s="100">
        <f>+VLOOKUP($AK$42,$AK$16:$AS$41,5,FALSE)</f>
        <v>6.65</v>
      </c>
      <c r="AP42" s="100">
        <f>+VLOOKUP($AK$42,$AK$16:$AS$41,6,FALSE)</f>
        <v>6.25</v>
      </c>
      <c r="AQ42" s="100">
        <f>+VLOOKUP($AK$42,$AK$16:$AS$41,7,FALSE)</f>
        <v>6.5</v>
      </c>
      <c r="AR42" s="100">
        <f>+VLOOKUP($AK$42,$AK$16:$AS$41,8,FALSE)</f>
        <v>6.15</v>
      </c>
      <c r="AS42" s="100">
        <f>+VLOOKUP($AK$42,$AK$16:$AS$41,9,FALSE)</f>
        <v>6.3</v>
      </c>
      <c r="AU42" t="str">
        <f>+DIM!$AK$20&amp;"+"&amp;DIM!$S$14</f>
        <v>151+250</v>
      </c>
      <c r="AV42" s="100">
        <f>+VLOOKUP($AU$42,$AU$16:$BC$41,2,FALSE)</f>
        <v>8.25</v>
      </c>
      <c r="AW42" s="100">
        <f>+VLOOKUP($AU$42,$AU$16:$BC$41,3,FALSE)</f>
        <v>8.8000000000000007</v>
      </c>
      <c r="AX42" s="100">
        <f>+VLOOKUP($AU$42,$AU$16:$BC$41,4,FALSE)</f>
        <v>8.4499999999999993</v>
      </c>
      <c r="AY42" s="100">
        <f>+VLOOKUP($AU$42,$AU$16:$BC$41,5,FALSE)</f>
        <v>9</v>
      </c>
      <c r="AZ42" s="100">
        <f>+VLOOKUP($AU$42,$AU$16:$BC$41,6,FALSE)</f>
        <v>8.6</v>
      </c>
      <c r="BA42" s="100">
        <f>+VLOOKUP($AU$42,$AU$16:$BC$41,7,FALSE)</f>
        <v>9</v>
      </c>
      <c r="BB42" s="100">
        <f>+VLOOKUP($AU$42,$AU$16:$BC$41,8,FALSE)</f>
        <v>8.75</v>
      </c>
      <c r="BC42" s="100">
        <f>+VLOOKUP($AU$42,$AU$16:$BC$41,9,FALSE)</f>
        <v>9</v>
      </c>
      <c r="BE42" t="str">
        <f>+DIM!$AK$20&amp;"+"&amp;DIM!$S$14</f>
        <v>151+250</v>
      </c>
      <c r="BF42" s="100">
        <f>+VLOOKUP($BE$42,$BE$16:$BM$41,2,FALSE)</f>
        <v>7.9</v>
      </c>
      <c r="BG42" s="100">
        <f>+VLOOKUP($BE$42,$BE$16:$BM$41,3,FALSE)</f>
        <v>8.0500000000000007</v>
      </c>
      <c r="BH42" s="100">
        <f>+VLOOKUP($BE$42,$BE$16:$BM$41,4,FALSE)</f>
        <v>7.75</v>
      </c>
      <c r="BI42" s="100">
        <f>+VLOOKUP($BE$42,$BE$16:$BM$41,5,FALSE)</f>
        <v>7.75</v>
      </c>
      <c r="BJ42" s="100">
        <f>+VLOOKUP($BE$42,$BE$16:$BM$41,6,FALSE)</f>
        <v>7.5</v>
      </c>
      <c r="BK42" s="100">
        <f>+VLOOKUP($BE$42,$BE$16:$BM$41,7,FALSE)</f>
        <v>7.5</v>
      </c>
      <c r="BL42" s="100">
        <f>+VLOOKUP($BE$42,$BE$16:$BM$41,8,FALSE)</f>
        <v>7.3</v>
      </c>
      <c r="BM42" s="100">
        <f>+VLOOKUP($BE$42,$BE$16:$BM$41,9,FALSE)</f>
        <v>7.3</v>
      </c>
    </row>
    <row r="43" spans="4:65" hidden="1" x14ac:dyDescent="0.2">
      <c r="F43" t="s">
        <v>47</v>
      </c>
      <c r="G43" t="str">
        <f>+DIM!AD15</f>
        <v>1C</v>
      </c>
      <c r="H43" s="237">
        <f>+IF(DIM!$AD$15=$H$15,H42,I42)</f>
        <v>5.8</v>
      </c>
      <c r="I43" s="237"/>
      <c r="J43" s="237">
        <f>+IF(DIM!$AD$15=$H$15,J42,K42)</f>
        <v>6</v>
      </c>
      <c r="K43" s="237"/>
      <c r="L43" s="237">
        <f>+IF(DIM!$AD$15=$H$15,L42,M42)</f>
        <v>6.15</v>
      </c>
      <c r="M43" s="237"/>
      <c r="N43" s="237">
        <f>+IF(DIM!$AD$15=$H$15,N42,O42)</f>
        <v>6.25</v>
      </c>
      <c r="O43" s="237"/>
      <c r="Q43" t="str">
        <f>+DIM!AD15</f>
        <v>1C</v>
      </c>
      <c r="R43" s="237">
        <f>+IF(DIM!$AD$15=$H$15,R42,S42)</f>
        <v>5</v>
      </c>
      <c r="S43" s="237"/>
      <c r="T43" s="237">
        <f>+IF(DIM!$AD$15=$H$15,T42,U42)</f>
        <v>4.95</v>
      </c>
      <c r="U43" s="237"/>
      <c r="V43" s="237">
        <f>+IF(DIM!$AD$15=$H$15,V42,W42)</f>
        <v>4.8499999999999996</v>
      </c>
      <c r="W43" s="237"/>
      <c r="X43" s="237">
        <f>+IF(DIM!$AD$15=$H$15,X42,Y42)</f>
        <v>4.7</v>
      </c>
      <c r="Y43" s="237"/>
      <c r="AA43" t="str">
        <f>+DIM!AD15</f>
        <v>1C</v>
      </c>
      <c r="AB43" s="237">
        <f>+IF(DIM!$AD$15=$H$15,AB42,AC42)</f>
        <v>7.2</v>
      </c>
      <c r="AC43" s="237"/>
      <c r="AD43" s="237">
        <f>+IF(DIM!$AD$15=$H$15,AD42,AE42)</f>
        <v>7.4</v>
      </c>
      <c r="AE43" s="237"/>
      <c r="AF43" s="237">
        <f>+IF(DIM!$AD$15=$H$15,AF42,AG42)</f>
        <v>7.6000000000000005</v>
      </c>
      <c r="AG43" s="237"/>
      <c r="AH43" s="237">
        <f>+IF(DIM!$AD$15=$H$15,AH42,AI42)</f>
        <v>7.8000000000000007</v>
      </c>
      <c r="AI43" s="237"/>
      <c r="AK43" t="str">
        <f>+DIM!AD15</f>
        <v>1C</v>
      </c>
      <c r="AL43" s="237">
        <f>+IF(DIM!$AD$15=$H$15,AL42,AM42)</f>
        <v>6.75</v>
      </c>
      <c r="AM43" s="237"/>
      <c r="AN43" s="237">
        <f>+IF(DIM!$AD$15=$H$15,AN42,AO42)</f>
        <v>6.65</v>
      </c>
      <c r="AO43" s="237"/>
      <c r="AP43" s="237">
        <f>+IF(DIM!$AD$15=$H$15,AP42,AQ42)</f>
        <v>6.5</v>
      </c>
      <c r="AQ43" s="237"/>
      <c r="AR43" s="237">
        <f>+IF(DIM!$AD$15=$H$15,AR42,AS42)</f>
        <v>6.3</v>
      </c>
      <c r="AS43" s="237"/>
      <c r="AU43" t="str">
        <f>+AK43</f>
        <v>1C</v>
      </c>
      <c r="AV43" s="237">
        <f>+IF(DIM!$AD$15=$H$15,AV42,AW42)</f>
        <v>8.8000000000000007</v>
      </c>
      <c r="AW43" s="237"/>
      <c r="AX43" s="237">
        <f>+IF(DIM!$AD$15=$H$15,AX42,AY42)</f>
        <v>9</v>
      </c>
      <c r="AY43" s="237"/>
      <c r="AZ43" s="237">
        <f>+IF(DIM!$AD$15=$H$15,AZ42,BA42)</f>
        <v>9</v>
      </c>
      <c r="BA43" s="237"/>
      <c r="BB43" s="237">
        <f>+IF(DIM!$AD$15=$H$15,BB42,BC42)</f>
        <v>9</v>
      </c>
      <c r="BC43" s="237"/>
      <c r="BE43" t="str">
        <f>+AU43</f>
        <v>1C</v>
      </c>
      <c r="BF43" s="237">
        <f>+IF(DIM!$AD$15=$H$15,BF42,BG42)</f>
        <v>8.0500000000000007</v>
      </c>
      <c r="BG43" s="237"/>
      <c r="BH43" s="237">
        <f>+IF(DIM!$AD$15=$H$15,BH42,BI42)</f>
        <v>7.75</v>
      </c>
      <c r="BI43" s="237"/>
      <c r="BJ43" s="237">
        <f>+IF(DIM!$AD$15=$H$15,BJ42,BK42)</f>
        <v>7.5</v>
      </c>
      <c r="BK43" s="237"/>
      <c r="BL43" s="237">
        <f>+IF(DIM!$AD$15=$H$15,BL42,BM42)</f>
        <v>7.3</v>
      </c>
      <c r="BM43" s="237"/>
    </row>
    <row r="44" spans="4:65" hidden="1" x14ac:dyDescent="0.2">
      <c r="F44" t="s">
        <v>48</v>
      </c>
      <c r="G44" s="101">
        <f>+DIM!S32</f>
        <v>5</v>
      </c>
      <c r="K44" s="102">
        <f>+HLOOKUP(G44,H14:O43,30,FALSE)</f>
        <v>5.8</v>
      </c>
      <c r="Q44" s="101">
        <f>+DIM!S32</f>
        <v>5</v>
      </c>
      <c r="U44" s="102">
        <f>+HLOOKUP(Q44,R14:Y43,30,FALSE)</f>
        <v>5</v>
      </c>
      <c r="AA44" s="101">
        <f>+DIM!S32</f>
        <v>5</v>
      </c>
      <c r="AE44" s="102">
        <f>+HLOOKUP(AA44,AB14:AI43,30,FALSE)</f>
        <v>7.2</v>
      </c>
      <c r="AK44" s="101">
        <f>+AA44</f>
        <v>5</v>
      </c>
      <c r="AO44" s="102">
        <f>+HLOOKUP(AK44,AL14:AS43,30,FALSE)</f>
        <v>6.75</v>
      </c>
      <c r="AU44" s="100">
        <f>+AK44</f>
        <v>5</v>
      </c>
      <c r="AY44" s="102">
        <f>+HLOOKUP(AU44,AV14:BC43,30,FALSE)</f>
        <v>8.8000000000000007</v>
      </c>
      <c r="BE44" s="101">
        <f>+AU44</f>
        <v>5</v>
      </c>
      <c r="BI44" s="102">
        <f>+HLOOKUP(BE44,BF14:BM43,30,FALSE)</f>
        <v>8.0500000000000007</v>
      </c>
    </row>
    <row r="45" spans="4:65" hidden="1" x14ac:dyDescent="0.2">
      <c r="E45">
        <f>IF(+DIM!Q32="C17","c17",IF(+DIM!Q32="C21","c21",IF(+DIM!Q32="C25","c25",0)))</f>
        <v>0</v>
      </c>
      <c r="F45" t="s">
        <v>65</v>
      </c>
      <c r="G45" t="str">
        <f>+IF(E45=F47,+"plancher SEACISOL C17 + "&amp;G44,IF(E45=F48,+"plancher SEACISOL C21 + "&amp;G44,IF(E45=F49,+"plancher SEACISOL C25 + "&amp;G44,"choisir un seacisol")))</f>
        <v>choisir un seacisol</v>
      </c>
      <c r="K45" s="103" t="str">
        <f>+K10&amp;"+"&amp;G44</f>
        <v>C17+5</v>
      </c>
      <c r="U45" s="103" t="str">
        <f>+U10&amp;"+"&amp;Q44</f>
        <v>C17+5</v>
      </c>
      <c r="AE45" s="103" t="str">
        <f>+AE10&amp;"+"&amp;AA44</f>
        <v>C21+5</v>
      </c>
      <c r="AO45" s="103" t="str">
        <f>+AO10&amp;"+"&amp;AK44</f>
        <v>C21+5</v>
      </c>
      <c r="AY45" s="103" t="str">
        <f>+AY10&amp;"+"&amp;AU44</f>
        <v>C25+5</v>
      </c>
      <c r="BI45" s="103" t="str">
        <f>+BI10&amp;"+"&amp;BE44</f>
        <v>C25+5</v>
      </c>
    </row>
    <row r="46" spans="4:65" hidden="1" x14ac:dyDescent="0.2">
      <c r="F46" t="s">
        <v>66</v>
      </c>
      <c r="G46" t="str">
        <f>+DIM!S19</f>
        <v>sans etai</v>
      </c>
      <c r="K46" s="98">
        <f>+HLOOKUP(G44,H14:O40,27,FALSE)</f>
        <v>174</v>
      </c>
      <c r="U46" s="98">
        <f>+HLOOKUP(Q44,R14:Y40,27,FALSE)</f>
        <v>174</v>
      </c>
      <c r="AE46" s="98">
        <f>+HLOOKUP(AA44,AB14:AI40,27,FALSE)</f>
        <v>192</v>
      </c>
      <c r="AO46" s="98">
        <f>+HLOOKUP(AK44,AL14:AS40,27,FALSE)</f>
        <v>192</v>
      </c>
      <c r="AY46" s="98">
        <f>+HLOOKUP(AU44,AV14:BC40,27,FALSE)</f>
        <v>214</v>
      </c>
      <c r="BI46" s="98">
        <f>+HLOOKUP(BE44,BF14:BM40,27,FALSE)</f>
        <v>214</v>
      </c>
    </row>
    <row r="47" spans="4:65" hidden="1" x14ac:dyDescent="0.2">
      <c r="D47" s="98" t="s">
        <v>301</v>
      </c>
      <c r="F47" t="s">
        <v>56</v>
      </c>
      <c r="G47">
        <f>+IF($G$46="avec etai",K44,U44)</f>
        <v>5</v>
      </c>
      <c r="H47">
        <f>+IF($G$46="avec etai",K46,U46)</f>
        <v>174</v>
      </c>
      <c r="I47">
        <f>+IF($G$46="avec etai",K47,U47)</f>
        <v>50</v>
      </c>
      <c r="J47">
        <f>+IF($G$46="avec etai",K48,U48)</f>
        <v>27.44</v>
      </c>
      <c r="K47" s="98">
        <f>+HLOOKUP(G44,H14:O41,28,FALSE)</f>
        <v>50</v>
      </c>
      <c r="U47" s="98">
        <f>+HLOOKUP(Q44,R14:Y41,28,FALSE)</f>
        <v>50</v>
      </c>
      <c r="AE47" s="98">
        <f>+HLOOKUP(AA44,AB14:AI41,28,FALSE)</f>
        <v>50</v>
      </c>
      <c r="AO47" s="98">
        <f>+HLOOKUP(AK44,AL14:AS41,28,FALSE)</f>
        <v>50</v>
      </c>
      <c r="AY47" s="98">
        <f>+HLOOKUP(AU44,AV14:BC41,28,FALSE)</f>
        <v>50</v>
      </c>
      <c r="BI47" s="98">
        <f>+HLOOKUP(BE44,BF14:BM41,28,FALSE)</f>
        <v>50</v>
      </c>
    </row>
    <row r="48" spans="4:65" hidden="1" x14ac:dyDescent="0.2">
      <c r="D48" s="98" t="s">
        <v>88</v>
      </c>
      <c r="F48" t="s">
        <v>57</v>
      </c>
      <c r="G48">
        <f>+IF($G$46="avec etai",AE44,AO44)</f>
        <v>6.75</v>
      </c>
      <c r="H48">
        <f>+IF($G$46="avec etai",AE46,AO46)</f>
        <v>192</v>
      </c>
      <c r="I48">
        <f>+IF($G$46="avec etai",AE47,AO47)</f>
        <v>50</v>
      </c>
      <c r="J48">
        <f>+IF($G$46="avec etai",AE48,AO48)</f>
        <v>27.44</v>
      </c>
      <c r="K48" s="98">
        <f>+HLOOKUP(K45,H62:O64,3,FALSE)</f>
        <v>27.44</v>
      </c>
      <c r="U48" s="98">
        <f>+HLOOKUP(U45,R62:Y64,3,FALSE)</f>
        <v>27.44</v>
      </c>
      <c r="AE48" s="98">
        <f>+HLOOKUP(AE45,AB62:AI64,3,FALSE)</f>
        <v>27.44</v>
      </c>
      <c r="AO48" s="98">
        <f>+HLOOKUP(AO45,AL62:AS64,3,FALSE)</f>
        <v>27.44</v>
      </c>
      <c r="AY48" s="98">
        <f>+HLOOKUP(AY45,AV62:BC64,3,FALSE)</f>
        <v>27.44</v>
      </c>
      <c r="BI48" s="98">
        <f>+HLOOKUP(BI45,BF62:BM64,3,FALSE)</f>
        <v>27.44</v>
      </c>
    </row>
    <row r="49" spans="5:65" ht="19.5" hidden="1" x14ac:dyDescent="0.35">
      <c r="F49" t="s">
        <v>58</v>
      </c>
      <c r="G49">
        <f>+IF($G$46="avec etai",AY44,BI44)</f>
        <v>8.0500000000000007</v>
      </c>
      <c r="H49">
        <f>+IF($G$46="avec etai",AY46,BI46)</f>
        <v>214</v>
      </c>
      <c r="I49">
        <f>+IF($G$46="avec etaii",AY47,BI47)</f>
        <v>50</v>
      </c>
      <c r="J49">
        <f>+IF($G$46="avec etaii",AY48,BI48)</f>
        <v>27.44</v>
      </c>
      <c r="K49" s="97" t="s">
        <v>56</v>
      </c>
      <c r="U49" s="97" t="s">
        <v>56</v>
      </c>
      <c r="AE49" s="97" t="s">
        <v>57</v>
      </c>
      <c r="AO49" s="97" t="s">
        <v>57</v>
      </c>
      <c r="AY49" s="97" t="s">
        <v>58</v>
      </c>
      <c r="BI49" s="97" t="s">
        <v>58</v>
      </c>
    </row>
    <row r="50" spans="5:65" hidden="1" x14ac:dyDescent="0.2">
      <c r="E50" t="s">
        <v>70</v>
      </c>
      <c r="F50" t="s">
        <v>74</v>
      </c>
      <c r="G50" t="str">
        <f>IF(E45=0,"non disponible",+VLOOKUP(DIM!Q32,F47:I49,2,FALSE))</f>
        <v>non disponible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F51" t="s">
        <v>75</v>
      </c>
      <c r="G51">
        <f>IF(DIM!Q32="C17",+VLOOKUP(DIM!Q32,F47:I49,3,FALSE),IF(DIM!Q32="C21",+VLOOKUP(DIM!Q32,F47:I49,3,FALSE),IF(DIM!Q32="C25",+VLOOKUP(DIM!Q32,F47:I49,3,FALSE),0)))</f>
        <v>0</v>
      </c>
    </row>
    <row r="52" spans="5:65" hidden="1" x14ac:dyDescent="0.2">
      <c r="F52" t="s">
        <v>72</v>
      </c>
      <c r="G52">
        <f>IF(DIM!Q32="C17",+VLOOKUP(DIM!Q32,F47:I49,4,FALSE),IF(DIM!Q32="C21",+VLOOKUP(DIM!Q32,F47:I49,4,FALSE),IF(DIM!Q32="C25",+VLOOKUP(DIM!Q32,F47:I49,4,FALSE),0)))</f>
        <v>0</v>
      </c>
    </row>
    <row r="53" spans="5:65" hidden="1" x14ac:dyDescent="0.2">
      <c r="F53" t="s">
        <v>274</v>
      </c>
      <c r="G53">
        <f>IF(DIM!Q32="C17",+VLOOKUP(DIM!Q32,F47:J49,5,FALSE),IF(DIM!Q32="C21",+VLOOKUP(DIM!Q32,F47:J49,5,FALSE),IF(DIM!Q32="C25",+VLOOKUP(DIM!Q32,F47:J49,5,FALSE),0)))</f>
        <v>0</v>
      </c>
    </row>
    <row r="54" spans="5:65" hidden="1" x14ac:dyDescent="0.2"/>
    <row r="55" spans="5:65" hidden="1" x14ac:dyDescent="0.2"/>
    <row r="56" spans="5:65" hidden="1" x14ac:dyDescent="0.2">
      <c r="F56" s="100"/>
      <c r="H56" s="49"/>
      <c r="J56" s="98"/>
      <c r="T56" s="98"/>
      <c r="X56" s="49"/>
      <c r="Y56" s="49"/>
      <c r="AB56" s="49"/>
      <c r="AC56" s="49"/>
      <c r="AD56" s="49"/>
      <c r="AE56" s="49"/>
      <c r="AF56" s="49"/>
      <c r="AG56" s="49"/>
      <c r="AH56" s="49"/>
      <c r="AI56" s="49"/>
      <c r="AL56" s="49"/>
      <c r="AM56" s="49"/>
      <c r="AN56" s="49"/>
      <c r="AO56" s="49"/>
      <c r="AP56" s="49"/>
      <c r="AQ56" s="49"/>
      <c r="AR56" s="49"/>
      <c r="AS56" s="49"/>
      <c r="AV56" s="49"/>
      <c r="AW56" s="49"/>
      <c r="AX56" s="49"/>
      <c r="AY56" s="49"/>
      <c r="AZ56" s="49"/>
      <c r="BA56" s="49"/>
      <c r="BB56" s="49"/>
      <c r="BC56" s="49"/>
      <c r="BF56" s="49"/>
      <c r="BG56" s="49"/>
      <c r="BH56" s="49"/>
      <c r="BI56" s="49"/>
      <c r="BJ56" s="49"/>
      <c r="BK56" s="49"/>
      <c r="BL56" s="49"/>
      <c r="BM56" s="49"/>
    </row>
    <row r="57" spans="5:65" hidden="1" x14ac:dyDescent="0.2">
      <c r="F57" s="100"/>
      <c r="H57" s="49"/>
      <c r="J57" s="98"/>
      <c r="T57" s="98"/>
      <c r="X57" s="49"/>
      <c r="Y57" s="49"/>
      <c r="AB57" s="49"/>
      <c r="AC57" s="49"/>
      <c r="AD57" s="49"/>
      <c r="AE57" s="49"/>
      <c r="AF57" s="49"/>
      <c r="AG57" s="49"/>
      <c r="AH57" s="49"/>
      <c r="AI57" s="49"/>
      <c r="AL57" s="49"/>
      <c r="AM57" s="49"/>
      <c r="AN57" s="49"/>
      <c r="AO57" s="98" t="s">
        <v>79</v>
      </c>
      <c r="AY57" s="98" t="s">
        <v>84</v>
      </c>
      <c r="AZ57" s="49"/>
      <c r="BA57" s="49"/>
      <c r="BB57" s="49"/>
      <c r="BC57" s="49"/>
      <c r="BF57" s="49"/>
      <c r="BG57" s="49"/>
      <c r="BH57" s="49"/>
      <c r="BI57" s="49"/>
      <c r="BJ57" s="49"/>
      <c r="BK57" s="49"/>
      <c r="BL57" s="49"/>
      <c r="BM57" s="49"/>
    </row>
    <row r="58" spans="5:65" hidden="1" x14ac:dyDescent="0.2">
      <c r="F58" s="100"/>
      <c r="H58" s="49"/>
      <c r="I58" s="49"/>
      <c r="J58" s="49"/>
      <c r="K58" s="49"/>
      <c r="L58" s="49"/>
      <c r="M58" s="49"/>
      <c r="N58" s="49"/>
      <c r="O58" s="49"/>
      <c r="R58" s="49"/>
      <c r="S58" s="49"/>
      <c r="T58" s="49"/>
      <c r="U58" s="98" t="s">
        <v>83</v>
      </c>
      <c r="AE58" s="98" t="s">
        <v>84</v>
      </c>
      <c r="AF58" s="49"/>
      <c r="AG58" s="49"/>
      <c r="AH58" s="49"/>
      <c r="AI58" s="49"/>
      <c r="AL58" s="49"/>
      <c r="AM58" s="49"/>
      <c r="AN58" s="49"/>
      <c r="AO58" s="49"/>
      <c r="AP58" s="49"/>
      <c r="AQ58" s="49"/>
      <c r="AR58" s="49"/>
      <c r="AS58" s="49"/>
      <c r="AV58" s="49"/>
      <c r="AW58" s="49"/>
      <c r="AX58" s="49"/>
      <c r="AY58" s="49"/>
      <c r="AZ58" s="49"/>
      <c r="BA58" s="49"/>
      <c r="BB58" s="49"/>
      <c r="BC58" s="49"/>
      <c r="BF58" s="49"/>
      <c r="BG58" s="49"/>
      <c r="BH58" s="49"/>
      <c r="BI58" s="49"/>
      <c r="BJ58" s="98" t="s">
        <v>79</v>
      </c>
      <c r="BK58" s="49"/>
      <c r="BL58" s="49"/>
      <c r="BM58" s="49"/>
    </row>
    <row r="59" spans="5:65" hidden="1" x14ac:dyDescent="0.2">
      <c r="F59" s="100"/>
      <c r="H59" s="49"/>
      <c r="I59" s="49"/>
      <c r="J59" s="49"/>
      <c r="K59" s="98" t="s">
        <v>78</v>
      </c>
      <c r="L59" s="49"/>
      <c r="M59" s="49"/>
      <c r="N59" s="49"/>
      <c r="O59" s="49"/>
      <c r="R59" s="49"/>
      <c r="S59" s="49"/>
      <c r="T59" s="49"/>
      <c r="U59" s="49"/>
      <c r="V59" s="49"/>
      <c r="W59" s="49"/>
      <c r="X59" s="49"/>
      <c r="Y59" s="49"/>
      <c r="AB59" s="49"/>
      <c r="AC59" s="49"/>
      <c r="AD59" s="49"/>
      <c r="AE59" s="49"/>
      <c r="AF59" s="49"/>
      <c r="AG59" s="49"/>
      <c r="AH59" s="49"/>
      <c r="AI59" s="49"/>
      <c r="AL59" s="49"/>
      <c r="AM59" s="49"/>
      <c r="AN59" s="49"/>
      <c r="AO59" s="49"/>
      <c r="AP59" s="49"/>
      <c r="AQ59" s="49"/>
      <c r="AR59" s="49"/>
      <c r="AS59" s="49"/>
      <c r="AV59" s="49"/>
      <c r="AW59" s="49"/>
      <c r="AX59" s="49"/>
      <c r="AY59" s="49"/>
      <c r="AZ59" s="49"/>
      <c r="BA59" s="49"/>
      <c r="BB59" s="49"/>
      <c r="BC59" s="49"/>
      <c r="BF59" s="49"/>
      <c r="BG59" s="49"/>
      <c r="BH59" s="49"/>
      <c r="BI59" s="49"/>
      <c r="BJ59" s="49"/>
      <c r="BK59" s="49"/>
      <c r="BL59" s="49"/>
      <c r="BM59" s="49"/>
    </row>
    <row r="60" spans="5:65" hidden="1" x14ac:dyDescent="0.2">
      <c r="J60" s="98"/>
      <c r="T60" s="98"/>
    </row>
    <row r="61" spans="5:65" hidden="1" x14ac:dyDescent="0.2">
      <c r="J61" s="98"/>
      <c r="T61" s="98"/>
    </row>
    <row r="62" spans="5:65" hidden="1" x14ac:dyDescent="0.2">
      <c r="H62" s="237" t="s">
        <v>131</v>
      </c>
      <c r="I62" s="237"/>
      <c r="J62" s="237" t="s">
        <v>132</v>
      </c>
      <c r="K62" s="237"/>
      <c r="L62" s="237" t="s">
        <v>133</v>
      </c>
      <c r="M62" s="237"/>
      <c r="N62" s="237" t="s">
        <v>134</v>
      </c>
      <c r="O62" s="237"/>
      <c r="R62" s="237" t="s">
        <v>131</v>
      </c>
      <c r="S62" s="237"/>
      <c r="T62" s="237" t="s">
        <v>132</v>
      </c>
      <c r="U62" s="237"/>
      <c r="V62" s="237" t="s">
        <v>133</v>
      </c>
      <c r="W62" s="237"/>
      <c r="X62" s="237" t="s">
        <v>134</v>
      </c>
      <c r="Y62" s="237"/>
      <c r="AB62" s="237" t="s">
        <v>135</v>
      </c>
      <c r="AC62" s="237"/>
      <c r="AD62" s="237" t="s">
        <v>136</v>
      </c>
      <c r="AE62" s="237"/>
      <c r="AF62" s="237" t="s">
        <v>137</v>
      </c>
      <c r="AG62" s="237"/>
      <c r="AH62" s="237" t="s">
        <v>138</v>
      </c>
      <c r="AI62" s="237"/>
      <c r="AL62" s="237" t="s">
        <v>135</v>
      </c>
      <c r="AM62" s="237"/>
      <c r="AN62" s="237" t="s">
        <v>136</v>
      </c>
      <c r="AO62" s="237"/>
      <c r="AP62" s="237" t="s">
        <v>137</v>
      </c>
      <c r="AQ62" s="237"/>
      <c r="AR62" s="237" t="s">
        <v>138</v>
      </c>
      <c r="AS62" s="237"/>
      <c r="AV62" s="237" t="s">
        <v>139</v>
      </c>
      <c r="AW62" s="237"/>
      <c r="AX62" s="237" t="s">
        <v>140</v>
      </c>
      <c r="AY62" s="237"/>
      <c r="AZ62" s="237" t="s">
        <v>141</v>
      </c>
      <c r="BA62" s="237"/>
      <c r="BB62" s="237" t="s">
        <v>142</v>
      </c>
      <c r="BC62" s="237"/>
      <c r="BF62" s="237" t="s">
        <v>139</v>
      </c>
      <c r="BG62" s="237"/>
      <c r="BH62" s="237" t="s">
        <v>140</v>
      </c>
      <c r="BI62" s="237"/>
      <c r="BJ62" s="237" t="s">
        <v>141</v>
      </c>
      <c r="BK62" s="237"/>
      <c r="BL62" s="237" t="s">
        <v>142</v>
      </c>
      <c r="BM62" s="237"/>
    </row>
    <row r="63" spans="5:65" hidden="1" x14ac:dyDescent="0.2">
      <c r="F63" s="100">
        <f>+DIM!S10-0.01</f>
        <v>3.99</v>
      </c>
      <c r="H63" s="238">
        <f>+IF(H43&gt;$F$63,1,0)</f>
        <v>1</v>
      </c>
      <c r="I63" s="238"/>
      <c r="J63" s="238">
        <f>+IF(J43&gt;$F$63,1,0)</f>
        <v>1</v>
      </c>
      <c r="K63" s="238"/>
      <c r="L63" s="238">
        <f>+IF(L43&gt;$F$63,1,0)</f>
        <v>1</v>
      </c>
      <c r="M63" s="238"/>
      <c r="N63" s="238">
        <f>+IF(N43&gt;$F$63,1,0)</f>
        <v>1</v>
      </c>
      <c r="O63" s="238"/>
      <c r="R63" s="238">
        <f>+IF(R43&gt;$F$63,1,0)</f>
        <v>1</v>
      </c>
      <c r="S63" s="238"/>
      <c r="T63" s="238">
        <f>+IF(T43&gt;$F$63,1,0)</f>
        <v>1</v>
      </c>
      <c r="U63" s="238"/>
      <c r="V63" s="238">
        <f>+IF(V43&gt;$F$63,1,0)</f>
        <v>1</v>
      </c>
      <c r="W63" s="238"/>
      <c r="X63" s="238">
        <f>+IF(X43&gt;$F$63,1,0)</f>
        <v>1</v>
      </c>
      <c r="Y63" s="238"/>
      <c r="AB63" s="238">
        <f>+IF(AB43&gt;$F$63,1,0)</f>
        <v>1</v>
      </c>
      <c r="AC63" s="238"/>
      <c r="AD63" s="238">
        <f>+IF(AD43&gt;$F$63,1,0)</f>
        <v>1</v>
      </c>
      <c r="AE63" s="238"/>
      <c r="AF63" s="238">
        <f>+IF(AF43&gt;$F$63,1,0)</f>
        <v>1</v>
      </c>
      <c r="AG63" s="238"/>
      <c r="AH63" s="238">
        <f>+IF(AH43&gt;$F$63,1,0)</f>
        <v>1</v>
      </c>
      <c r="AI63" s="238"/>
      <c r="AL63" s="238">
        <f>+IF(AL43&gt;$F$63,1,0)</f>
        <v>1</v>
      </c>
      <c r="AM63" s="238"/>
      <c r="AN63" s="238">
        <f>+IF(AN43&gt;$F$63,1,0)</f>
        <v>1</v>
      </c>
      <c r="AO63" s="238"/>
      <c r="AP63" s="238">
        <f>+IF(AP43&gt;$F$63,1,0)</f>
        <v>1</v>
      </c>
      <c r="AQ63" s="238"/>
      <c r="AR63" s="238">
        <f>+IF(AR43&gt;$F$63,1,0)</f>
        <v>1</v>
      </c>
      <c r="AS63" s="238"/>
      <c r="AV63" s="238">
        <f>+IF(AV43&gt;$F$63,1,0)</f>
        <v>1</v>
      </c>
      <c r="AW63" s="238"/>
      <c r="AX63" s="238">
        <f>+IF(AX43&gt;$F$63,1,0)</f>
        <v>1</v>
      </c>
      <c r="AY63" s="238"/>
      <c r="AZ63" s="238">
        <f>+IF(AZ43&gt;$F$63,1,0)</f>
        <v>1</v>
      </c>
      <c r="BA63" s="238"/>
      <c r="BB63" s="238">
        <f>+IF(BB43&gt;$F$63,1,0)</f>
        <v>1</v>
      </c>
      <c r="BC63" s="238"/>
      <c r="BF63" s="238">
        <f>+IF(BF43&gt;$F$63,1,0)</f>
        <v>1</v>
      </c>
      <c r="BG63" s="238"/>
      <c r="BH63" s="238">
        <f>+IF(BH43&gt;$F$63,1,0)</f>
        <v>1</v>
      </c>
      <c r="BI63" s="238"/>
      <c r="BJ63" s="238">
        <f>+IF(BJ43&gt;$F$63,1,0)</f>
        <v>1</v>
      </c>
      <c r="BK63" s="238"/>
      <c r="BL63" s="238">
        <f>+IF(BL43&gt;$F$63,1,0)</f>
        <v>1</v>
      </c>
      <c r="BM63" s="238"/>
    </row>
    <row r="64" spans="5:65" hidden="1" x14ac:dyDescent="0.2">
      <c r="H64">
        <v>27.44</v>
      </c>
      <c r="J64">
        <f>1.97+H64</f>
        <v>29.41</v>
      </c>
      <c r="L64">
        <f>3.94+H64</f>
        <v>31.380000000000003</v>
      </c>
      <c r="N64">
        <f>5.91+H64</f>
        <v>33.35</v>
      </c>
      <c r="R64">
        <v>27.44</v>
      </c>
      <c r="T64">
        <f>1.97+R64</f>
        <v>29.41</v>
      </c>
      <c r="V64">
        <f>3.94+R64</f>
        <v>31.380000000000003</v>
      </c>
      <c r="X64">
        <f>5.91+R64</f>
        <v>33.35</v>
      </c>
      <c r="AB64">
        <v>27.44</v>
      </c>
      <c r="AD64">
        <f>1.97+AB64</f>
        <v>29.41</v>
      </c>
      <c r="AF64">
        <f>3.94+AB64</f>
        <v>31.380000000000003</v>
      </c>
      <c r="AH64">
        <f>5.91+AB64</f>
        <v>33.35</v>
      </c>
      <c r="AL64">
        <v>27.44</v>
      </c>
      <c r="AN64">
        <f>1.97+AL64</f>
        <v>29.41</v>
      </c>
      <c r="AP64">
        <f>3.94+AL64</f>
        <v>31.380000000000003</v>
      </c>
      <c r="AR64">
        <f>5.91+AL64</f>
        <v>33.35</v>
      </c>
      <c r="AV64">
        <v>27.44</v>
      </c>
      <c r="AX64">
        <f>1.97+AV64</f>
        <v>29.41</v>
      </c>
      <c r="AZ64">
        <f>3.94+AV64</f>
        <v>31.380000000000003</v>
      </c>
      <c r="BB64">
        <f>5.91+AV64</f>
        <v>33.35</v>
      </c>
      <c r="BF64">
        <v>27.44</v>
      </c>
      <c r="BH64">
        <f>1.97+BF64</f>
        <v>29.41</v>
      </c>
      <c r="BJ64">
        <f>3.94+BF64</f>
        <v>31.380000000000003</v>
      </c>
      <c r="BL64">
        <f>5.91+BF64</f>
        <v>33.35</v>
      </c>
    </row>
    <row r="65" spans="5:61" hidden="1" x14ac:dyDescent="0.2">
      <c r="J65" t="s">
        <v>123</v>
      </c>
      <c r="L65" t="s">
        <v>88</v>
      </c>
      <c r="T65" t="s">
        <v>124</v>
      </c>
      <c r="V65" t="s">
        <v>88</v>
      </c>
    </row>
    <row r="66" spans="5:61" hidden="1" x14ac:dyDescent="0.2">
      <c r="K66" t="str">
        <f>+IF(H63=1,H62,IF(J63=1,J62,IF(L63=1,L62,IF(N63=1,N62,0))))</f>
        <v>C17+5</v>
      </c>
      <c r="L66" t="str">
        <f>+AE66</f>
        <v>C21+5</v>
      </c>
      <c r="M66" t="str">
        <f>+AY66</f>
        <v>C25+5</v>
      </c>
      <c r="U66" t="str">
        <f>+IF(R63=1,R62,IF(T63=1,T62,IF(V63=1,V62,IF(X63=1,X62,0))))</f>
        <v>C17+5</v>
      </c>
      <c r="V66" t="str">
        <f>+AO66</f>
        <v>C21+5</v>
      </c>
      <c r="W66" t="str">
        <f>+BI66</f>
        <v>C25+5</v>
      </c>
      <c r="AE66" t="str">
        <f>+IF(AB63=1,AB62,IF(AD63=1,AD62,IF(AF63=1,AF62,IF(AH63=1,AH62,0))))</f>
        <v>C21+5</v>
      </c>
      <c r="AO66" t="str">
        <f>+IF(AL63=1,AL62,IF(AN63=1,AN62,IF(AP63=1,AP62,IF(AR63=1,AR62,0))))</f>
        <v>C21+5</v>
      </c>
      <c r="AY66" t="str">
        <f>+IF(AV63=1,AV62,IF(AX63=1,AX62,IF(AZ63=1,AZ62,IF(BB63=1,BB62,0))))</f>
        <v>C25+5</v>
      </c>
      <c r="BI66" t="str">
        <f>+IF(BF63=1,BF62,IF(BH63=1,BH62,IF(BJ63=1,BJ62,IF(BL63=1,BL62,0))))</f>
        <v>C25+5</v>
      </c>
    </row>
    <row r="67" spans="5:61" hidden="1" x14ac:dyDescent="0.2">
      <c r="E67" s="98" t="s">
        <v>314</v>
      </c>
      <c r="J67" s="98" t="str">
        <f>+IF(K66&gt;0,K66,IF(L66&gt;0,L66,IF(M66&gt;0,M66,"hors limite")))</f>
        <v>C17+5</v>
      </c>
      <c r="T67" s="98" t="str">
        <f>+IF(U66&gt;0,U66,IF(V66&gt;0,V66,IF(W66&gt;0,W66,"hors limite")))</f>
        <v>C17+5</v>
      </c>
    </row>
    <row r="68" spans="5:61" hidden="1" x14ac:dyDescent="0.2">
      <c r="I68" t="s">
        <v>75</v>
      </c>
      <c r="J68" s="98">
        <f>+IF(K66&gt;0,K68,IF(L66&gt;0,L68,IF(M66&gt;0,M68,0)))</f>
        <v>174</v>
      </c>
      <c r="K68">
        <f>+HLOOKUP(J67,H13:O42,28,FALSE)</f>
        <v>174</v>
      </c>
      <c r="L68">
        <f>+HLOOKUP(L66,AB13:AI41,28,FALSE)</f>
        <v>192</v>
      </c>
      <c r="M68">
        <f>+HLOOKUP(M66,AV13:BC41,28,FALSE)</f>
        <v>214</v>
      </c>
      <c r="T68" s="98">
        <f>+IF(U66&gt;0,U68,IF(V66&gt;0,V68,IF(W66&gt;0,W68,0)))</f>
        <v>174</v>
      </c>
      <c r="U68">
        <f>+HLOOKUP(U66,R13:Y41,28,FALSE)</f>
        <v>174</v>
      </c>
      <c r="V68">
        <f>+HLOOKUP(V66,AL13:AS41,28,FALSE)</f>
        <v>192</v>
      </c>
      <c r="W68">
        <f>+HLOOKUP(W66,BF13:BM41,28,FALSE)</f>
        <v>214</v>
      </c>
    </row>
    <row r="69" spans="5:61" hidden="1" x14ac:dyDescent="0.2">
      <c r="I69" t="s">
        <v>72</v>
      </c>
      <c r="J69" s="98">
        <f>+IF(K66&gt;0,K69,IF(L66&gt;0,L69,IF(M66&gt;0,M69,0)))</f>
        <v>50</v>
      </c>
      <c r="K69">
        <f>+HLOOKUP(J67,H13:O41,29,FALSE)</f>
        <v>50</v>
      </c>
      <c r="L69">
        <f>+HLOOKUP(L66,AB13:AI41,29,FALSE)</f>
        <v>50</v>
      </c>
      <c r="M69">
        <f>+HLOOKUP(M66,AV13:BC55,29,FALSE)</f>
        <v>50</v>
      </c>
      <c r="T69" s="98">
        <f>+IF(U66&gt;0,U69,IF(V66&gt;0,V69,IF(W66&gt;0,W69,0)))</f>
        <v>50</v>
      </c>
      <c r="U69">
        <f>+HLOOKUP(U66,R13:Y41,29,FALSE)</f>
        <v>50</v>
      </c>
      <c r="V69">
        <f>+HLOOKUP(V66,AL13:AS41,29,FALSE)</f>
        <v>50</v>
      </c>
      <c r="W69">
        <f>+HLOOKUP(W66,BF13:BM41,29,FALSE)</f>
        <v>50</v>
      </c>
    </row>
    <row r="70" spans="5:61" hidden="1" x14ac:dyDescent="0.2">
      <c r="I70" t="s">
        <v>274</v>
      </c>
      <c r="J70" s="98">
        <f>+IF(K66&gt;0,K70,IF(L66&gt;0,L70,IF(M66&gt;0,M70,0)))</f>
        <v>27.44</v>
      </c>
      <c r="K70" s="98">
        <f>+HLOOKUP(K66,H62:O64,3,FALSE)</f>
        <v>27.44</v>
      </c>
      <c r="L70" s="98">
        <f>+HLOOKUP(L66,AB62:AI64,3,FALSE)</f>
        <v>27.44</v>
      </c>
      <c r="M70" s="98">
        <f>+HLOOKUP(M66,AV62:BC64,3,FALSE)</f>
        <v>27.44</v>
      </c>
      <c r="T70" s="98">
        <f>+IF(U66&gt;0,U70,IF(V66&gt;0,V70,IF(W66&gt;0,W70,0)))</f>
        <v>27.44</v>
      </c>
      <c r="U70" s="98">
        <f>+HLOOKUP(U66,R62:Y64,3,FALSE)</f>
        <v>27.44</v>
      </c>
      <c r="V70" s="98">
        <f>+HLOOKUP(V66,AL62:AS64,3,FALSE)</f>
        <v>27.44</v>
      </c>
      <c r="W70" s="98">
        <f>+HLOOKUP(W66,BF62:BM64,3,FALSE)</f>
        <v>27.44</v>
      </c>
    </row>
    <row r="71" spans="5:61" hidden="1" x14ac:dyDescent="0.2"/>
    <row r="72" spans="5:61" hidden="1" x14ac:dyDescent="0.2"/>
    <row r="73" spans="5:61" hidden="1" x14ac:dyDescent="0.2">
      <c r="H73" s="99" t="s">
        <v>131</v>
      </c>
      <c r="I73" s="99" t="s">
        <v>132</v>
      </c>
      <c r="J73" s="99" t="s">
        <v>133</v>
      </c>
      <c r="K73" s="99" t="s">
        <v>134</v>
      </c>
      <c r="L73" s="99" t="s">
        <v>135</v>
      </c>
      <c r="M73" s="99" t="s">
        <v>136</v>
      </c>
      <c r="N73" s="99" t="s">
        <v>137</v>
      </c>
      <c r="O73" s="99" t="s">
        <v>138</v>
      </c>
      <c r="P73" s="99" t="s">
        <v>139</v>
      </c>
      <c r="Q73" s="99" t="s">
        <v>140</v>
      </c>
      <c r="R73" s="99" t="s">
        <v>141</v>
      </c>
      <c r="S73" s="99" t="s">
        <v>142</v>
      </c>
      <c r="U73" s="99"/>
      <c r="W73" s="99"/>
      <c r="AC73" s="99"/>
      <c r="AE73" s="99"/>
      <c r="AG73" s="99"/>
    </row>
    <row r="74" spans="5:61" hidden="1" x14ac:dyDescent="0.2">
      <c r="H74">
        <v>22</v>
      </c>
      <c r="I74">
        <v>23</v>
      </c>
      <c r="J74">
        <v>24</v>
      </c>
      <c r="K74">
        <v>25</v>
      </c>
      <c r="L74">
        <v>26</v>
      </c>
      <c r="M74">
        <v>27</v>
      </c>
      <c r="N74">
        <v>28</v>
      </c>
      <c r="O74">
        <v>29</v>
      </c>
      <c r="P74">
        <v>30</v>
      </c>
      <c r="Q74">
        <v>31</v>
      </c>
      <c r="R74">
        <v>32</v>
      </c>
      <c r="S74">
        <v>33</v>
      </c>
    </row>
    <row r="75" spans="5:61" hidden="1" x14ac:dyDescent="0.2"/>
    <row r="76" spans="5:61" hidden="1" x14ac:dyDescent="0.2"/>
  </sheetData>
  <sheetProtection algorithmName="SHA-512" hashValue="64tIQS3RMFwUlTop/taECFSpv/swPvy+ZpEGbLKqOVVLTSLHLSKihPKwE+svei0qHn6D7lgTpEleSN7BJ/CM2g==" saltValue="MbZEWSZgaPjUK17ppp1YXQ==" spinCount="100000" sheet="1" objects="1" scenarios="1"/>
  <mergeCells count="168">
    <mergeCell ref="AZ63:BA63"/>
    <mergeCell ref="BB63:BC63"/>
    <mergeCell ref="BF63:BG63"/>
    <mergeCell ref="BH63:BI63"/>
    <mergeCell ref="BJ63:BK63"/>
    <mergeCell ref="BL63:BM63"/>
    <mergeCell ref="AZ62:BA62"/>
    <mergeCell ref="BB62:BC62"/>
    <mergeCell ref="BF62:BG62"/>
    <mergeCell ref="BH62:BI62"/>
    <mergeCell ref="BJ62:BK62"/>
    <mergeCell ref="BL62:BM62"/>
    <mergeCell ref="H63:I63"/>
    <mergeCell ref="J63:K63"/>
    <mergeCell ref="L63:M63"/>
    <mergeCell ref="N63:O63"/>
    <mergeCell ref="R63:S63"/>
    <mergeCell ref="T63:U63"/>
    <mergeCell ref="V63:W63"/>
    <mergeCell ref="X63:Y63"/>
    <mergeCell ref="AB63:AC63"/>
    <mergeCell ref="AD63:AE63"/>
    <mergeCell ref="AF63:AG63"/>
    <mergeCell ref="AH63:AI63"/>
    <mergeCell ref="AL63:AM63"/>
    <mergeCell ref="AN63:AO63"/>
    <mergeCell ref="AP63:AQ63"/>
    <mergeCell ref="AR63:AS63"/>
    <mergeCell ref="AV63:AW63"/>
    <mergeCell ref="AX63:AY63"/>
    <mergeCell ref="AZ13:BA13"/>
    <mergeCell ref="BB13:BC13"/>
    <mergeCell ref="BF13:BG13"/>
    <mergeCell ref="BH13:BI13"/>
    <mergeCell ref="BJ13:BK13"/>
    <mergeCell ref="BL13:BM13"/>
    <mergeCell ref="H62:I62"/>
    <mergeCell ref="J62:K62"/>
    <mergeCell ref="L62:M62"/>
    <mergeCell ref="N62:O62"/>
    <mergeCell ref="R62:S62"/>
    <mergeCell ref="T62:U62"/>
    <mergeCell ref="V62:W62"/>
    <mergeCell ref="X62:Y62"/>
    <mergeCell ref="AB62:AC62"/>
    <mergeCell ref="AD62:AE62"/>
    <mergeCell ref="AF62:AG62"/>
    <mergeCell ref="AH62:AI62"/>
    <mergeCell ref="AL62:AM62"/>
    <mergeCell ref="AN62:AO62"/>
    <mergeCell ref="AP62:AQ62"/>
    <mergeCell ref="AR62:AS62"/>
    <mergeCell ref="AV62:AW62"/>
    <mergeCell ref="AX62:AY62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</mergeCells>
  <pageMargins left="0.7" right="0.7" top="0.75" bottom="0.75" header="0.3" footer="0.3"/>
  <ignoredErrors>
    <ignoredError sqref="AF33:AF37 AH33:AH36 AZ33:BA36 AH21:AH23 AF21:AF23 AZ27:BA31 AH25:AH31 AF25:AF31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CBF0-94D8-4E9C-8A33-93AB009A6745}">
  <dimension ref="B9:BW129"/>
  <sheetViews>
    <sheetView topLeftCell="A130" zoomScaleNormal="100" workbookViewId="0">
      <selection activeCell="A129" sqref="A9:XFD129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9" spans="7:75" hidden="1" x14ac:dyDescent="0.2"/>
    <row r="10" spans="7:75" ht="19.5" hidden="1" x14ac:dyDescent="0.35">
      <c r="K10" s="97">
        <v>12</v>
      </c>
      <c r="L10" s="97" t="s">
        <v>96</v>
      </c>
      <c r="U10" s="97">
        <v>12</v>
      </c>
      <c r="V10" s="97" t="s">
        <v>97</v>
      </c>
      <c r="AE10" s="97">
        <v>15</v>
      </c>
      <c r="AF10" s="97" t="s">
        <v>96</v>
      </c>
      <c r="AO10" s="97">
        <v>15</v>
      </c>
      <c r="AP10" s="97" t="s">
        <v>97</v>
      </c>
      <c r="AY10" s="97">
        <v>20</v>
      </c>
      <c r="AZ10" s="97" t="s">
        <v>96</v>
      </c>
      <c r="BI10" s="97">
        <v>20</v>
      </c>
      <c r="BJ10" s="97" t="s">
        <v>97</v>
      </c>
    </row>
    <row r="11" spans="7:75" hidden="1" x14ac:dyDescent="0.2">
      <c r="K11" s="98" t="s">
        <v>78</v>
      </c>
      <c r="U11" s="98" t="s">
        <v>98</v>
      </c>
      <c r="AE11" s="98" t="s">
        <v>84</v>
      </c>
      <c r="AO11" s="98" t="s">
        <v>99</v>
      </c>
      <c r="AY11" s="98" t="s">
        <v>84</v>
      </c>
      <c r="BI11" s="98" t="s">
        <v>78</v>
      </c>
    </row>
    <row r="12" spans="7:75" hidden="1" x14ac:dyDescent="0.2">
      <c r="H12">
        <v>137</v>
      </c>
      <c r="R12">
        <v>137</v>
      </c>
      <c r="T12">
        <v>137</v>
      </c>
      <c r="AB12">
        <v>158</v>
      </c>
      <c r="AD12">
        <v>179</v>
      </c>
      <c r="AF12">
        <v>189</v>
      </c>
      <c r="AH12">
        <v>189</v>
      </c>
      <c r="AL12">
        <v>158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75" hidden="1" x14ac:dyDescent="0.2">
      <c r="H13" s="237" t="s">
        <v>111</v>
      </c>
      <c r="I13" s="237"/>
      <c r="J13" s="237" t="s">
        <v>112</v>
      </c>
      <c r="K13" s="237"/>
      <c r="L13" s="237" t="s">
        <v>113</v>
      </c>
      <c r="M13" s="237"/>
      <c r="N13" s="237" t="s">
        <v>114</v>
      </c>
      <c r="O13" s="237"/>
      <c r="R13" s="237" t="s">
        <v>111</v>
      </c>
      <c r="S13" s="237"/>
      <c r="T13" s="237" t="s">
        <v>112</v>
      </c>
      <c r="U13" s="237"/>
      <c r="V13" s="237" t="s">
        <v>113</v>
      </c>
      <c r="W13" s="237"/>
      <c r="X13" s="237" t="s">
        <v>114</v>
      </c>
      <c r="Y13" s="237"/>
      <c r="AB13" s="237" t="s">
        <v>115</v>
      </c>
      <c r="AC13" s="237"/>
      <c r="AD13" s="237" t="s">
        <v>116</v>
      </c>
      <c r="AE13" s="237"/>
      <c r="AF13" s="237" t="s">
        <v>117</v>
      </c>
      <c r="AG13" s="237"/>
      <c r="AH13" s="237" t="s">
        <v>118</v>
      </c>
      <c r="AI13" s="237"/>
      <c r="AL13" s="237" t="s">
        <v>115</v>
      </c>
      <c r="AM13" s="237"/>
      <c r="AN13" s="237" t="s">
        <v>116</v>
      </c>
      <c r="AO13" s="237"/>
      <c r="AP13" s="237" t="s">
        <v>117</v>
      </c>
      <c r="AQ13" s="237"/>
      <c r="AR13" s="237" t="s">
        <v>118</v>
      </c>
      <c r="AS13" s="237"/>
      <c r="AV13" s="237" t="s">
        <v>119</v>
      </c>
      <c r="AW13" s="237"/>
      <c r="AX13" s="237" t="s">
        <v>120</v>
      </c>
      <c r="AY13" s="237"/>
      <c r="AZ13" s="237" t="s">
        <v>121</v>
      </c>
      <c r="BA13" s="237"/>
      <c r="BB13" s="237" t="s">
        <v>122</v>
      </c>
      <c r="BC13" s="237"/>
      <c r="BF13" s="237" t="s">
        <v>119</v>
      </c>
      <c r="BG13" s="237"/>
      <c r="BH13" s="237" t="s">
        <v>120</v>
      </c>
      <c r="BI13" s="237"/>
      <c r="BJ13" s="237" t="s">
        <v>121</v>
      </c>
      <c r="BK13" s="237"/>
      <c r="BL13" s="237" t="s">
        <v>122</v>
      </c>
      <c r="BM13" s="237"/>
    </row>
    <row r="14" spans="7:75" hidden="1" x14ac:dyDescent="0.2">
      <c r="H14" s="237">
        <v>5</v>
      </c>
      <c r="I14" s="237"/>
      <c r="J14" s="237">
        <v>6</v>
      </c>
      <c r="K14" s="237"/>
      <c r="L14" s="237">
        <v>7</v>
      </c>
      <c r="M14" s="237"/>
      <c r="N14" s="237">
        <v>8</v>
      </c>
      <c r="O14" s="237"/>
      <c r="R14" s="237">
        <v>5</v>
      </c>
      <c r="S14" s="237"/>
      <c r="T14" s="237">
        <v>6</v>
      </c>
      <c r="U14" s="237"/>
      <c r="V14" s="237">
        <v>7</v>
      </c>
      <c r="W14" s="237"/>
      <c r="X14" s="237">
        <v>8</v>
      </c>
      <c r="Y14" s="237"/>
      <c r="AB14" s="237">
        <v>5</v>
      </c>
      <c r="AC14" s="237"/>
      <c r="AD14" s="237">
        <v>6</v>
      </c>
      <c r="AE14" s="237"/>
      <c r="AF14" s="237">
        <v>7</v>
      </c>
      <c r="AG14" s="237"/>
      <c r="AH14" s="237">
        <v>8</v>
      </c>
      <c r="AI14" s="237"/>
      <c r="AL14" s="237">
        <v>5</v>
      </c>
      <c r="AM14" s="237"/>
      <c r="AN14" s="237">
        <v>6</v>
      </c>
      <c r="AO14" s="237"/>
      <c r="AP14" s="237">
        <v>7</v>
      </c>
      <c r="AQ14" s="237"/>
      <c r="AR14" s="237">
        <v>8</v>
      </c>
      <c r="AS14" s="237"/>
      <c r="AV14" s="237">
        <v>5</v>
      </c>
      <c r="AW14" s="237"/>
      <c r="AX14" s="237">
        <v>6</v>
      </c>
      <c r="AY14" s="237"/>
      <c r="AZ14" s="237">
        <v>7</v>
      </c>
      <c r="BA14" s="237"/>
      <c r="BB14" s="237">
        <v>8</v>
      </c>
      <c r="BC14" s="237"/>
      <c r="BF14" s="237">
        <v>5</v>
      </c>
      <c r="BG14" s="237"/>
      <c r="BH14" s="237">
        <v>6</v>
      </c>
      <c r="BI14" s="237"/>
      <c r="BJ14" s="237">
        <v>7</v>
      </c>
      <c r="BK14" s="237"/>
      <c r="BL14" s="237">
        <v>8</v>
      </c>
      <c r="BM14" s="237"/>
      <c r="BP14" s="238"/>
      <c r="BQ14" s="238"/>
      <c r="BR14" s="238"/>
      <c r="BS14" s="238"/>
      <c r="BT14" s="238"/>
      <c r="BU14" s="238"/>
      <c r="BV14" s="238"/>
      <c r="BW14" s="238"/>
    </row>
    <row r="15" spans="7:7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75" hidden="1" x14ac:dyDescent="0.2">
      <c r="G16" t="s">
        <v>161</v>
      </c>
      <c r="H16">
        <v>6.2</v>
      </c>
      <c r="I16">
        <v>6.6</v>
      </c>
      <c r="J16">
        <v>6.35</v>
      </c>
      <c r="K16">
        <v>6.8</v>
      </c>
      <c r="L16">
        <v>6.5</v>
      </c>
      <c r="M16">
        <v>7</v>
      </c>
      <c r="N16">
        <v>6.7</v>
      </c>
      <c r="O16">
        <v>7.2</v>
      </c>
      <c r="Q16" t="s">
        <v>161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 t="s">
        <v>161</v>
      </c>
      <c r="AB16">
        <v>7.05</v>
      </c>
      <c r="AC16">
        <v>7.6</v>
      </c>
      <c r="AD16">
        <v>7</v>
      </c>
      <c r="AE16">
        <v>7.6</v>
      </c>
      <c r="AF16">
        <v>7.55</v>
      </c>
      <c r="AG16">
        <v>8.1</v>
      </c>
      <c r="AH16">
        <v>7.65</v>
      </c>
      <c r="AI16">
        <v>8.3000000000000007</v>
      </c>
      <c r="AK16" t="s">
        <v>161</v>
      </c>
      <c r="AL16">
        <v>6.8</v>
      </c>
      <c r="AM16">
        <v>7.6</v>
      </c>
      <c r="AN16">
        <v>7</v>
      </c>
      <c r="AO16">
        <v>7.6</v>
      </c>
      <c r="AP16">
        <v>7.2</v>
      </c>
      <c r="AQ16">
        <v>7.9</v>
      </c>
      <c r="AR16">
        <v>7.5</v>
      </c>
      <c r="AS16">
        <v>8.1999999999999993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8.4499999999999993</v>
      </c>
      <c r="BA16">
        <v>9</v>
      </c>
      <c r="BB16">
        <v>8.5500000000000007</v>
      </c>
      <c r="BC16">
        <v>9</v>
      </c>
      <c r="BE16" t="s">
        <v>161</v>
      </c>
      <c r="BF16">
        <v>7.8</v>
      </c>
      <c r="BG16">
        <v>8.6</v>
      </c>
      <c r="BH16">
        <v>7.8</v>
      </c>
      <c r="BI16">
        <v>8.6</v>
      </c>
      <c r="BJ16">
        <v>7.8</v>
      </c>
      <c r="BK16">
        <v>8.6</v>
      </c>
      <c r="BL16">
        <v>7.8</v>
      </c>
      <c r="BM16">
        <v>8.6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6.6</v>
      </c>
      <c r="AM17">
        <v>7.15</v>
      </c>
      <c r="AN17">
        <v>6.8</v>
      </c>
      <c r="AO17">
        <v>7.5</v>
      </c>
      <c r="AP17">
        <v>6.8</v>
      </c>
      <c r="AQ17">
        <v>7.5</v>
      </c>
      <c r="AR17">
        <v>6.9</v>
      </c>
      <c r="AS17">
        <f>0.1+AQ17</f>
        <v>7.6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7.3</v>
      </c>
      <c r="BG17">
        <v>8.1</v>
      </c>
      <c r="BH17">
        <f>0.1+BF17</f>
        <v>7.3999999999999995</v>
      </c>
      <c r="BI17">
        <v>8.1</v>
      </c>
      <c r="BJ17">
        <f>0.1+BH17</f>
        <v>7.4999999999999991</v>
      </c>
      <c r="BK17">
        <v>8.1</v>
      </c>
      <c r="BL17">
        <v>7.4</v>
      </c>
      <c r="BM17">
        <v>8.1999999999999993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6.2</v>
      </c>
      <c r="AM18">
        <v>6.7</v>
      </c>
      <c r="AN18">
        <v>6.4</v>
      </c>
      <c r="AO18">
        <v>7.1</v>
      </c>
      <c r="AP18">
        <v>6.4</v>
      </c>
      <c r="AQ18">
        <v>7.1</v>
      </c>
      <c r="AR18">
        <v>6.5</v>
      </c>
      <c r="AS18">
        <f t="shared" ref="AS18:AS39" si="0">0.1+AQ18</f>
        <v>7.1999999999999993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7</v>
      </c>
      <c r="BG18">
        <v>7.7</v>
      </c>
      <c r="BH18">
        <f t="shared" ref="BH18:BJ18" si="1">0.1+BF18</f>
        <v>7.1</v>
      </c>
      <c r="BI18">
        <v>7.7</v>
      </c>
      <c r="BJ18">
        <f t="shared" si="1"/>
        <v>7.1999999999999993</v>
      </c>
      <c r="BK18">
        <v>7.8</v>
      </c>
      <c r="BL18">
        <v>7.1</v>
      </c>
      <c r="BM18">
        <v>7.8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5.8</v>
      </c>
      <c r="AM19">
        <v>6.4</v>
      </c>
      <c r="AN19">
        <v>6.1</v>
      </c>
      <c r="AO19">
        <v>6.7</v>
      </c>
      <c r="AP19">
        <v>6.2</v>
      </c>
      <c r="AQ19">
        <v>6.8</v>
      </c>
      <c r="AR19">
        <v>6.3</v>
      </c>
      <c r="AS19">
        <f t="shared" si="0"/>
        <v>6.8999999999999995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6.6</v>
      </c>
      <c r="BG19">
        <v>7.3</v>
      </c>
      <c r="BH19">
        <v>6.6</v>
      </c>
      <c r="BI19">
        <v>7.3</v>
      </c>
      <c r="BJ19">
        <v>6.6</v>
      </c>
      <c r="BK19">
        <v>7.4</v>
      </c>
      <c r="BL19">
        <v>6.8</v>
      </c>
      <c r="BM19">
        <v>7.4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5.5</v>
      </c>
      <c r="AM20">
        <v>6.1</v>
      </c>
      <c r="AN20">
        <v>5.8</v>
      </c>
      <c r="AO20">
        <v>6.4</v>
      </c>
      <c r="AP20">
        <v>5.9</v>
      </c>
      <c r="AQ20">
        <v>6.5</v>
      </c>
      <c r="AR20">
        <v>5.9</v>
      </c>
      <c r="AS20">
        <f t="shared" si="0"/>
        <v>6.6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6.4</v>
      </c>
      <c r="BG20">
        <v>7</v>
      </c>
      <c r="BH20">
        <v>6.4</v>
      </c>
      <c r="BI20">
        <v>7</v>
      </c>
      <c r="BJ20">
        <v>6.4</v>
      </c>
      <c r="BK20">
        <v>7.1</v>
      </c>
      <c r="BL20">
        <v>6.5</v>
      </c>
      <c r="BM20">
        <v>7.1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5.3</v>
      </c>
      <c r="AM21">
        <v>5.8</v>
      </c>
      <c r="AN21">
        <v>5.7</v>
      </c>
      <c r="AO21">
        <v>6.1</v>
      </c>
      <c r="AP21">
        <v>5.8</v>
      </c>
      <c r="AQ21">
        <v>6.2</v>
      </c>
      <c r="AR21">
        <v>5.7</v>
      </c>
      <c r="AS21">
        <f t="shared" si="0"/>
        <v>6.3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6.1</v>
      </c>
      <c r="BG21">
        <v>6.7</v>
      </c>
      <c r="BH21">
        <v>6.1</v>
      </c>
      <c r="BI21">
        <v>6.7</v>
      </c>
      <c r="BJ21">
        <v>6.1</v>
      </c>
      <c r="BK21">
        <v>6.8</v>
      </c>
      <c r="BL21">
        <v>6.2</v>
      </c>
      <c r="BM21">
        <v>6.8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4.9000000000000004</v>
      </c>
      <c r="AM22">
        <v>5.4</v>
      </c>
      <c r="AN22">
        <v>5.0999999999999996</v>
      </c>
      <c r="AO22">
        <v>5.7</v>
      </c>
      <c r="AP22">
        <v>5.2</v>
      </c>
      <c r="AQ22">
        <v>5.8</v>
      </c>
      <c r="AR22">
        <v>5.0999999999999996</v>
      </c>
      <c r="AS22">
        <f t="shared" si="0"/>
        <v>5.8999999999999995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5.7</v>
      </c>
      <c r="BG22">
        <v>6.3</v>
      </c>
      <c r="BH22">
        <v>5.7</v>
      </c>
      <c r="BI22">
        <v>6.3</v>
      </c>
      <c r="BJ22">
        <v>5.7</v>
      </c>
      <c r="BK22">
        <v>6.4</v>
      </c>
      <c r="BL22">
        <v>5.9</v>
      </c>
      <c r="BM22">
        <v>6.4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4.5</v>
      </c>
      <c r="AM23">
        <v>5.2</v>
      </c>
      <c r="AN23">
        <v>4.8</v>
      </c>
      <c r="AO23">
        <v>5.3</v>
      </c>
      <c r="AP23">
        <v>5</v>
      </c>
      <c r="AQ23">
        <v>5.4</v>
      </c>
      <c r="AR23">
        <v>5</v>
      </c>
      <c r="AS23">
        <f t="shared" si="0"/>
        <v>5.5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5.9</v>
      </c>
      <c r="BH23">
        <v>5.3</v>
      </c>
      <c r="BI23">
        <v>5.9</v>
      </c>
      <c r="BJ23">
        <v>5.3</v>
      </c>
      <c r="BK23">
        <v>6</v>
      </c>
      <c r="BL23">
        <v>5.5</v>
      </c>
      <c r="BM23">
        <v>6</v>
      </c>
    </row>
    <row r="24" spans="7:65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7.15</v>
      </c>
      <c r="AI24">
        <v>7.6</v>
      </c>
      <c r="AK24" t="s">
        <v>162</v>
      </c>
      <c r="AL24">
        <v>6.4</v>
      </c>
      <c r="AM24">
        <v>7.2</v>
      </c>
      <c r="AN24">
        <v>6.8</v>
      </c>
      <c r="AO24">
        <v>7.5</v>
      </c>
      <c r="AP24">
        <v>6.8</v>
      </c>
      <c r="AQ24">
        <v>7.5</v>
      </c>
      <c r="AR24">
        <v>7</v>
      </c>
      <c r="AS24">
        <v>7.6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7.95</v>
      </c>
      <c r="BA24">
        <v>8.4499999999999993</v>
      </c>
      <c r="BB24">
        <v>8.1</v>
      </c>
      <c r="BC24">
        <v>8.6</v>
      </c>
      <c r="BE24" t="s">
        <v>162</v>
      </c>
      <c r="BF24">
        <v>7.6</v>
      </c>
      <c r="BG24">
        <v>8.15</v>
      </c>
      <c r="BH24">
        <v>7.3</v>
      </c>
      <c r="BI24">
        <v>8</v>
      </c>
      <c r="BJ24">
        <v>7.4</v>
      </c>
      <c r="BK24">
        <v>8.1</v>
      </c>
      <c r="BL24">
        <v>7.4</v>
      </c>
      <c r="BM24">
        <v>8.1999999999999993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6.1</v>
      </c>
      <c r="AM25">
        <v>6.8</v>
      </c>
      <c r="AN25">
        <v>6.4</v>
      </c>
      <c r="AO25">
        <v>7.1</v>
      </c>
      <c r="AP25">
        <v>6.4</v>
      </c>
      <c r="AQ25">
        <v>7.1</v>
      </c>
      <c r="AR25">
        <v>6.5</v>
      </c>
      <c r="AS25">
        <f t="shared" si="0"/>
        <v>7.1999999999999993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7.1</v>
      </c>
      <c r="BG25">
        <v>7.7</v>
      </c>
      <c r="BH25">
        <v>7</v>
      </c>
      <c r="BI25">
        <v>7.7</v>
      </c>
      <c r="BJ25">
        <v>7</v>
      </c>
      <c r="BK25">
        <v>7.8</v>
      </c>
      <c r="BL25">
        <v>7.1</v>
      </c>
      <c r="BM25">
        <v>7.8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5.7</v>
      </c>
      <c r="AM26">
        <v>6.4</v>
      </c>
      <c r="AN26">
        <v>6.1</v>
      </c>
      <c r="AO26">
        <v>6.7</v>
      </c>
      <c r="AP26">
        <v>6.1</v>
      </c>
      <c r="AQ26">
        <v>6.7</v>
      </c>
      <c r="AR26">
        <v>6.2</v>
      </c>
      <c r="AS26">
        <f t="shared" si="0"/>
        <v>6.8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6.6</v>
      </c>
      <c r="BG26">
        <v>7.3</v>
      </c>
      <c r="BH26">
        <v>6.6</v>
      </c>
      <c r="BI26">
        <v>7.4</v>
      </c>
      <c r="BJ26">
        <v>6.7</v>
      </c>
      <c r="BK26">
        <v>7.5</v>
      </c>
      <c r="BL26">
        <v>6.8</v>
      </c>
      <c r="BM26">
        <v>7.5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5.5</v>
      </c>
      <c r="AM27">
        <v>6.1</v>
      </c>
      <c r="AN27">
        <v>5.8</v>
      </c>
      <c r="AO27">
        <v>6.4</v>
      </c>
      <c r="AP27">
        <v>5.8</v>
      </c>
      <c r="AQ27">
        <v>6.4</v>
      </c>
      <c r="AR27">
        <v>5.9</v>
      </c>
      <c r="AS27">
        <f t="shared" si="0"/>
        <v>6.5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6.4</v>
      </c>
      <c r="BG27">
        <v>7</v>
      </c>
      <c r="BH27">
        <v>6.4</v>
      </c>
      <c r="BI27">
        <v>7.1</v>
      </c>
      <c r="BJ27">
        <v>6.5</v>
      </c>
      <c r="BK27">
        <v>7.2</v>
      </c>
      <c r="BL27">
        <v>6.6</v>
      </c>
      <c r="BM27">
        <v>7.2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5.3</v>
      </c>
      <c r="AM28">
        <v>5.9</v>
      </c>
      <c r="AN28">
        <v>5.6</v>
      </c>
      <c r="AO28">
        <v>6.2</v>
      </c>
      <c r="AP28">
        <v>5.6</v>
      </c>
      <c r="AQ28">
        <v>6.2</v>
      </c>
      <c r="AR28">
        <v>5.7</v>
      </c>
      <c r="AS28">
        <f t="shared" si="0"/>
        <v>6.3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6.1</v>
      </c>
      <c r="BG28">
        <v>6.7</v>
      </c>
      <c r="BH28">
        <v>6.2</v>
      </c>
      <c r="BI28">
        <v>6.8</v>
      </c>
      <c r="BJ28">
        <v>6.3</v>
      </c>
      <c r="BK28">
        <v>6.9</v>
      </c>
      <c r="BL28">
        <v>6.4</v>
      </c>
      <c r="BM28">
        <v>6.9</v>
      </c>
    </row>
    <row r="29" spans="7:65" ht="12" hidden="1" customHeight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 t="s">
        <v>81</v>
      </c>
      <c r="AB29">
        <v>5.25</v>
      </c>
      <c r="AC29">
        <v>5.5</v>
      </c>
      <c r="AD29">
        <v>5.6</v>
      </c>
      <c r="AE29">
        <f t="shared" ref="AE29:AI29" si="2">+(AE28+AE30)/2</f>
        <v>6.05</v>
      </c>
      <c r="AF29">
        <f t="shared" si="2"/>
        <v>5.75</v>
      </c>
      <c r="AG29">
        <v>6.2</v>
      </c>
      <c r="AH29">
        <f t="shared" si="2"/>
        <v>5.9</v>
      </c>
      <c r="AI29">
        <f t="shared" si="2"/>
        <v>6.4</v>
      </c>
      <c r="AK29" t="s">
        <v>81</v>
      </c>
      <c r="AL29">
        <v>5.0999999999999996</v>
      </c>
      <c r="AM29">
        <v>5.7</v>
      </c>
      <c r="AN29">
        <v>5.4</v>
      </c>
      <c r="AO29">
        <v>6</v>
      </c>
      <c r="AP29">
        <v>5.4</v>
      </c>
      <c r="AQ29">
        <v>6</v>
      </c>
      <c r="AR29">
        <v>5.5</v>
      </c>
      <c r="AS29">
        <f t="shared" si="0"/>
        <v>6.1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5.9</v>
      </c>
      <c r="BG29">
        <v>6.5</v>
      </c>
      <c r="BH29">
        <v>5.9</v>
      </c>
      <c r="BI29">
        <v>6.5</v>
      </c>
      <c r="BJ29">
        <v>6</v>
      </c>
      <c r="BK29">
        <v>6.6</v>
      </c>
      <c r="BL29">
        <v>6.1</v>
      </c>
      <c r="BM29">
        <v>6.6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4.7</v>
      </c>
      <c r="AM30">
        <v>5.2</v>
      </c>
      <c r="AN30">
        <v>5</v>
      </c>
      <c r="AO30">
        <v>5.5</v>
      </c>
      <c r="AP30">
        <v>5</v>
      </c>
      <c r="AQ30">
        <v>5.5</v>
      </c>
      <c r="AR30">
        <v>5.0999999999999996</v>
      </c>
      <c r="AS30">
        <f t="shared" si="0"/>
        <v>5.6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5.5</v>
      </c>
      <c r="BG30">
        <v>6.1</v>
      </c>
      <c r="BH30">
        <v>5.5</v>
      </c>
      <c r="BI30">
        <v>6.2</v>
      </c>
      <c r="BJ30">
        <v>5.6</v>
      </c>
      <c r="BK30">
        <v>6.3</v>
      </c>
      <c r="BL30">
        <v>5.7</v>
      </c>
      <c r="BM30">
        <v>6.3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4.4000000000000004</v>
      </c>
      <c r="AM31">
        <v>5</v>
      </c>
      <c r="AN31">
        <v>4.7</v>
      </c>
      <c r="AO31">
        <v>5.2</v>
      </c>
      <c r="AP31">
        <v>4.7</v>
      </c>
      <c r="AQ31">
        <v>5.2</v>
      </c>
      <c r="AR31">
        <v>4.8</v>
      </c>
      <c r="AS31">
        <f t="shared" si="0"/>
        <v>5.3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5.7</v>
      </c>
      <c r="BH31">
        <v>5.3</v>
      </c>
      <c r="BI31">
        <v>5.8</v>
      </c>
      <c r="BJ31">
        <v>5.4</v>
      </c>
      <c r="BK31">
        <v>5.9</v>
      </c>
      <c r="BL31">
        <v>5.5</v>
      </c>
      <c r="BM31">
        <v>5.9</v>
      </c>
    </row>
    <row r="32" spans="7:65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6.4450000000000003</v>
      </c>
      <c r="AG32">
        <v>6.7</v>
      </c>
      <c r="AH32">
        <v>6.6</v>
      </c>
      <c r="AI32">
        <v>6.85</v>
      </c>
      <c r="AK32" t="s">
        <v>163</v>
      </c>
      <c r="AL32">
        <v>5.9</v>
      </c>
      <c r="AM32">
        <v>6.6</v>
      </c>
      <c r="AN32">
        <v>6.2</v>
      </c>
      <c r="AO32">
        <v>6.9</v>
      </c>
      <c r="AP32">
        <v>6.3</v>
      </c>
      <c r="AQ32">
        <v>7</v>
      </c>
      <c r="AR32">
        <v>6.4</v>
      </c>
      <c r="AS32">
        <f t="shared" si="0"/>
        <v>7.1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7.45</v>
      </c>
      <c r="BC32">
        <v>7.8</v>
      </c>
      <c r="BE32" t="s">
        <v>163</v>
      </c>
      <c r="BF32">
        <v>6.8</v>
      </c>
      <c r="BG32">
        <v>7.35</v>
      </c>
      <c r="BH32">
        <v>6.8</v>
      </c>
      <c r="BI32">
        <v>7.55</v>
      </c>
      <c r="BJ32">
        <v>6.9</v>
      </c>
      <c r="BK32">
        <v>7.6</v>
      </c>
      <c r="BL32">
        <v>6.9</v>
      </c>
      <c r="BM32">
        <v>7.6</v>
      </c>
    </row>
    <row r="33" spans="2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5.5</v>
      </c>
      <c r="AM33">
        <v>6.2</v>
      </c>
      <c r="AN33">
        <v>5.9</v>
      </c>
      <c r="AO33">
        <v>6.6</v>
      </c>
      <c r="AP33">
        <v>6</v>
      </c>
      <c r="AQ33">
        <v>6.6</v>
      </c>
      <c r="AR33">
        <v>6.1</v>
      </c>
      <c r="AS33">
        <f t="shared" si="0"/>
        <v>6.6999999999999993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6.5</v>
      </c>
      <c r="BG33">
        <v>7.2</v>
      </c>
      <c r="BH33">
        <v>6.5</v>
      </c>
      <c r="BI33">
        <v>7.2</v>
      </c>
      <c r="BJ33">
        <v>6.6</v>
      </c>
      <c r="BK33">
        <v>7.3</v>
      </c>
      <c r="BL33">
        <v>6.7</v>
      </c>
      <c r="BM33">
        <v>7.3</v>
      </c>
    </row>
    <row r="34" spans="2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5.3</v>
      </c>
      <c r="AM34">
        <v>6</v>
      </c>
      <c r="AN34">
        <v>5.7</v>
      </c>
      <c r="AO34">
        <v>6.4</v>
      </c>
      <c r="AP34">
        <v>5.7</v>
      </c>
      <c r="AQ34">
        <v>6.4</v>
      </c>
      <c r="AR34">
        <v>5.8</v>
      </c>
      <c r="AS34">
        <f t="shared" si="0"/>
        <v>6.5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6.2</v>
      </c>
      <c r="BG34">
        <v>6.9</v>
      </c>
      <c r="BH34">
        <v>6.2</v>
      </c>
      <c r="BI34">
        <v>6.9</v>
      </c>
      <c r="BJ34">
        <v>6.3</v>
      </c>
      <c r="BK34">
        <v>7</v>
      </c>
      <c r="BL34">
        <v>6.4</v>
      </c>
      <c r="BM34">
        <v>7</v>
      </c>
    </row>
    <row r="35" spans="2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5</v>
      </c>
      <c r="AM35">
        <v>5.7</v>
      </c>
      <c r="AN35">
        <v>5.4</v>
      </c>
      <c r="AO35">
        <v>6</v>
      </c>
      <c r="AP35">
        <v>5.4</v>
      </c>
      <c r="AQ35">
        <v>6</v>
      </c>
      <c r="AR35">
        <v>5.5</v>
      </c>
      <c r="AS35">
        <f t="shared" si="0"/>
        <v>6.1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6</v>
      </c>
      <c r="BG35">
        <v>6.6</v>
      </c>
      <c r="BH35">
        <v>6</v>
      </c>
      <c r="BI35">
        <v>6.6</v>
      </c>
      <c r="BJ35">
        <v>6.1</v>
      </c>
      <c r="BK35">
        <v>6.7</v>
      </c>
      <c r="BL35">
        <v>6.2</v>
      </c>
      <c r="BM35">
        <v>6.7</v>
      </c>
    </row>
    <row r="36" spans="2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4.8</v>
      </c>
      <c r="AM36">
        <v>5.4</v>
      </c>
      <c r="AN36">
        <v>5.2</v>
      </c>
      <c r="AO36">
        <v>5.7</v>
      </c>
      <c r="AP36">
        <v>5.2</v>
      </c>
      <c r="AQ36">
        <v>5.7</v>
      </c>
      <c r="AR36">
        <v>5.3</v>
      </c>
      <c r="AS36">
        <f t="shared" si="0"/>
        <v>5.8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5.8</v>
      </c>
      <c r="BG36">
        <v>6.4</v>
      </c>
      <c r="BH36">
        <v>5.8</v>
      </c>
      <c r="BI36">
        <v>6.4</v>
      </c>
      <c r="BJ36">
        <v>5.9</v>
      </c>
      <c r="BK36">
        <v>6.5</v>
      </c>
      <c r="BL36">
        <v>6</v>
      </c>
      <c r="BM36">
        <v>6.5</v>
      </c>
    </row>
    <row r="37" spans="2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 t="s">
        <v>82</v>
      </c>
      <c r="AB37">
        <f t="shared" ref="AB37:AD37" si="3">+(AB36+AB38)/2</f>
        <v>4.8000000000000007</v>
      </c>
      <c r="AC37">
        <f t="shared" si="3"/>
        <v>4.8000000000000007</v>
      </c>
      <c r="AD37">
        <f t="shared" si="3"/>
        <v>5.3</v>
      </c>
      <c r="AE37">
        <v>5.5</v>
      </c>
      <c r="AF37">
        <f t="shared" ref="AF37:AH37" si="4">+(AF36+AF38)/2</f>
        <v>5.45</v>
      </c>
      <c r="AG37">
        <f t="shared" si="4"/>
        <v>5.8</v>
      </c>
      <c r="AH37">
        <f t="shared" si="4"/>
        <v>5.6</v>
      </c>
      <c r="AI37">
        <v>5.95</v>
      </c>
      <c r="AK37" t="s">
        <v>82</v>
      </c>
      <c r="AL37">
        <v>4.5999999999999996</v>
      </c>
      <c r="AM37">
        <v>5.3</v>
      </c>
      <c r="AN37">
        <v>5.0999999999999996</v>
      </c>
      <c r="AO37">
        <v>5.6</v>
      </c>
      <c r="AP37">
        <v>5.0999999999999996</v>
      </c>
      <c r="AQ37">
        <v>5.6</v>
      </c>
      <c r="AR37">
        <v>5.2</v>
      </c>
      <c r="AS37">
        <f t="shared" si="0"/>
        <v>5.6999999999999993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5.6</v>
      </c>
      <c r="BG37">
        <v>6.2</v>
      </c>
      <c r="BH37">
        <v>5.6</v>
      </c>
      <c r="BI37">
        <v>6.2</v>
      </c>
      <c r="BJ37">
        <v>5.7</v>
      </c>
      <c r="BK37">
        <v>6.3</v>
      </c>
      <c r="BL37">
        <v>5.8</v>
      </c>
      <c r="BM37">
        <v>6.3</v>
      </c>
    </row>
    <row r="38" spans="2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4.4000000000000004</v>
      </c>
      <c r="AM38">
        <v>4.9000000000000004</v>
      </c>
      <c r="AN38">
        <v>4.7</v>
      </c>
      <c r="AO38">
        <v>5.2</v>
      </c>
      <c r="AP38">
        <v>4.7</v>
      </c>
      <c r="AQ38">
        <v>5.2</v>
      </c>
      <c r="AR38">
        <v>4.8</v>
      </c>
      <c r="AS38">
        <f t="shared" si="0"/>
        <v>5.3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5.2</v>
      </c>
      <c r="BG38">
        <v>5.8</v>
      </c>
      <c r="BH38">
        <v>5.2</v>
      </c>
      <c r="BI38">
        <v>5.8</v>
      </c>
      <c r="BJ38">
        <v>5.4</v>
      </c>
      <c r="BK38">
        <v>6.2</v>
      </c>
      <c r="BL38">
        <v>5.5</v>
      </c>
      <c r="BM38">
        <v>6.2</v>
      </c>
    </row>
    <row r="39" spans="2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4.2</v>
      </c>
      <c r="AM39">
        <v>4.7</v>
      </c>
      <c r="AN39">
        <v>4.5</v>
      </c>
      <c r="AO39">
        <v>5</v>
      </c>
      <c r="AP39">
        <v>4.5</v>
      </c>
      <c r="AQ39">
        <v>5</v>
      </c>
      <c r="AR39">
        <v>4.7</v>
      </c>
      <c r="AS39">
        <f t="shared" si="0"/>
        <v>5.0999999999999996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5</v>
      </c>
      <c r="BG39">
        <v>5.5</v>
      </c>
      <c r="BH39">
        <v>5</v>
      </c>
      <c r="BI39">
        <v>5.5</v>
      </c>
      <c r="BJ39">
        <v>5.2</v>
      </c>
      <c r="BK39">
        <v>5.8</v>
      </c>
      <c r="BL39">
        <v>5.3</v>
      </c>
      <c r="BM39">
        <v>5.8</v>
      </c>
    </row>
    <row r="40" spans="2:65" hidden="1" x14ac:dyDescent="0.2">
      <c r="G40" t="s">
        <v>71</v>
      </c>
      <c r="H40" s="238">
        <v>188</v>
      </c>
      <c r="I40" s="238"/>
      <c r="J40" s="238">
        <v>211</v>
      </c>
      <c r="K40" s="238"/>
      <c r="L40" s="238">
        <v>235</v>
      </c>
      <c r="M40" s="238"/>
      <c r="N40" s="238">
        <v>257</v>
      </c>
      <c r="O40" s="238"/>
      <c r="R40" s="238"/>
      <c r="S40" s="238"/>
      <c r="T40" s="238"/>
      <c r="U40" s="238"/>
      <c r="V40" s="238"/>
      <c r="W40" s="238"/>
      <c r="X40" s="238"/>
      <c r="Y40" s="238"/>
      <c r="AB40" s="238">
        <v>211</v>
      </c>
      <c r="AC40" s="238"/>
      <c r="AD40" s="238">
        <v>233</v>
      </c>
      <c r="AE40" s="238"/>
      <c r="AF40" s="238">
        <v>256</v>
      </c>
      <c r="AG40" s="238"/>
      <c r="AH40" s="238">
        <v>279</v>
      </c>
      <c r="AI40" s="238"/>
      <c r="AL40" s="238">
        <v>211</v>
      </c>
      <c r="AM40" s="238"/>
      <c r="AN40" s="238">
        <v>233</v>
      </c>
      <c r="AO40" s="238"/>
      <c r="AP40" s="238">
        <v>256</v>
      </c>
      <c r="AQ40" s="238"/>
      <c r="AR40" s="238">
        <v>279</v>
      </c>
      <c r="AS40" s="238"/>
      <c r="AV40" s="238">
        <v>272</v>
      </c>
      <c r="AW40" s="238"/>
      <c r="AX40" s="238">
        <v>295</v>
      </c>
      <c r="AY40" s="238"/>
      <c r="AZ40" s="238">
        <v>318</v>
      </c>
      <c r="BA40" s="238"/>
      <c r="BB40" s="238">
        <v>341</v>
      </c>
      <c r="BC40" s="238"/>
      <c r="BF40" s="238">
        <v>272</v>
      </c>
      <c r="BG40" s="238"/>
      <c r="BH40" s="238">
        <v>295</v>
      </c>
      <c r="BI40" s="238"/>
      <c r="BJ40" s="238">
        <v>318</v>
      </c>
      <c r="BK40" s="238"/>
      <c r="BL40" s="238">
        <v>341</v>
      </c>
      <c r="BM40" s="238"/>
    </row>
    <row r="41" spans="2:65" hidden="1" x14ac:dyDescent="0.2">
      <c r="G41" t="s">
        <v>72</v>
      </c>
      <c r="H41" s="238">
        <v>62.5</v>
      </c>
      <c r="I41" s="238"/>
      <c r="J41" s="238">
        <v>72.5</v>
      </c>
      <c r="K41" s="238"/>
      <c r="L41" s="238">
        <v>82.5</v>
      </c>
      <c r="M41" s="238"/>
      <c r="N41" s="238">
        <v>92.5</v>
      </c>
      <c r="O41" s="238"/>
      <c r="R41" s="238"/>
      <c r="S41" s="238"/>
      <c r="T41" s="238"/>
      <c r="U41" s="238"/>
      <c r="V41" s="238"/>
      <c r="W41" s="238"/>
      <c r="X41" s="238"/>
      <c r="Y41" s="238"/>
      <c r="AB41" s="238">
        <v>70</v>
      </c>
      <c r="AC41" s="238"/>
      <c r="AD41" s="238">
        <v>76</v>
      </c>
      <c r="AE41" s="238"/>
      <c r="AF41" s="238">
        <v>85</v>
      </c>
      <c r="AG41" s="238"/>
      <c r="AH41" s="238">
        <v>94.5</v>
      </c>
      <c r="AI41" s="238"/>
      <c r="AL41" s="238">
        <v>70</v>
      </c>
      <c r="AM41" s="238"/>
      <c r="AN41" s="238">
        <v>76</v>
      </c>
      <c r="AO41" s="238"/>
      <c r="AP41" s="238">
        <v>85</v>
      </c>
      <c r="AQ41" s="238"/>
      <c r="AR41" s="238">
        <v>94.5</v>
      </c>
      <c r="AS41" s="238"/>
      <c r="AV41" s="238">
        <v>86</v>
      </c>
      <c r="AW41" s="238"/>
      <c r="AX41" s="238">
        <v>96</v>
      </c>
      <c r="AY41" s="238"/>
      <c r="AZ41" s="238">
        <v>106</v>
      </c>
      <c r="BA41" s="238"/>
      <c r="BB41" s="238">
        <v>116</v>
      </c>
      <c r="BC41" s="238"/>
      <c r="BF41" s="238">
        <v>86</v>
      </c>
      <c r="BG41" s="238"/>
      <c r="BH41" s="238">
        <v>96</v>
      </c>
      <c r="BI41" s="238"/>
      <c r="BJ41" s="238">
        <v>106</v>
      </c>
      <c r="BK41" s="238"/>
      <c r="BL41" s="238">
        <v>116</v>
      </c>
      <c r="BM41" s="238"/>
    </row>
    <row r="42" spans="2:65" hidden="1" x14ac:dyDescent="0.2">
      <c r="E42" t="s">
        <v>49</v>
      </c>
      <c r="G42" t="str">
        <f>+DIM!$AK$20&amp;"+"&amp;DIM!$S$14</f>
        <v>151+250</v>
      </c>
      <c r="H42" s="100">
        <f>+VLOOKUP($G$42,$G$16:$O$39,2,FALSE)</f>
        <v>5.05</v>
      </c>
      <c r="I42" s="100">
        <f>+VLOOKUP($G$42,$G$16:$O$39,3,FALSE)</f>
        <v>5.05</v>
      </c>
      <c r="J42" s="100">
        <f>+VLOOKUP($G$42,$G$16:$O$39,4,FALSE)</f>
        <v>5.3</v>
      </c>
      <c r="K42" s="100">
        <f>+VLOOKUP($G$42,$G$16:$O$39,5,FALSE)</f>
        <v>5.3</v>
      </c>
      <c r="L42" s="100">
        <f>+VLOOKUP($G$42,$G$16:$O$39,6,FALSE)</f>
        <v>5.5</v>
      </c>
      <c r="M42" s="100">
        <f>+VLOOKUP($G$42,$G$16:$O$39,7,FALSE)</f>
        <v>5.5</v>
      </c>
      <c r="N42" s="100">
        <f>+VLOOKUP($G$42,$G$16:$O$39,8,FALSE)</f>
        <v>5.75</v>
      </c>
      <c r="O42" s="100">
        <f>+VLOOKUP($G$42,$G$16:$O$39,9,FALSE)</f>
        <v>5.75</v>
      </c>
      <c r="Q42" t="str">
        <f>+DIM!$AK$20&amp;"+"&amp;DIM!$S$14</f>
        <v>151+250</v>
      </c>
      <c r="R42" s="100">
        <f>+VLOOKUP($Q$42,$Q$14:$Y$39,2,FALSE)</f>
        <v>0</v>
      </c>
      <c r="S42" s="100">
        <f>+VLOOKUP($Q$42,$Q$14:$Y$39,3,FALSE)</f>
        <v>0</v>
      </c>
      <c r="T42" s="100">
        <f>+VLOOKUP($Q$42,$Q$14:$Y$39,4,FALSE)</f>
        <v>0</v>
      </c>
      <c r="U42" s="100">
        <f>+VLOOKUP($Q$42,$Q$14:$Y$39,5,FALSE)</f>
        <v>0</v>
      </c>
      <c r="V42" s="100">
        <f>+VLOOKUP($Q$42,$Q$14:$Y$39,6,FALSE)</f>
        <v>0</v>
      </c>
      <c r="W42" s="100">
        <f>+VLOOKUP($Q$42,$Q$14:$Y$39,7,FALSE)</f>
        <v>0</v>
      </c>
      <c r="X42" s="100">
        <f>+VLOOKUP($Q$42,$Q$14:$Y$39,8,FALSE)</f>
        <v>0</v>
      </c>
      <c r="Y42" s="100">
        <f>+VLOOKUP($Q$42,$Q$14:$Y$39,9,FALSE)</f>
        <v>0</v>
      </c>
      <c r="AA42" t="str">
        <f>+DIM!$AK$20&amp;"+"&amp;DIM!$S$14</f>
        <v>151+250</v>
      </c>
      <c r="AB42" s="100">
        <f>+VLOOKUP($AA$42,$AA$16:$AI$41,2,FALSE)</f>
        <v>5.95</v>
      </c>
      <c r="AC42" s="100">
        <f>+VLOOKUP($AA$42,$AA$16:$AI$41,3,FALSE)</f>
        <v>6.35</v>
      </c>
      <c r="AD42" s="100">
        <f>+VLOOKUP($AA$42,$AA$16:$AI$41,4,FALSE)</f>
        <v>6.3</v>
      </c>
      <c r="AE42" s="100">
        <f>+VLOOKUP($AA$42,$AA$16:$AI$41,5,FALSE)</f>
        <v>6.7</v>
      </c>
      <c r="AF42" s="100">
        <f>+VLOOKUP($AA$42,$AA$16:$AI$41,6,FALSE)</f>
        <v>6.4</v>
      </c>
      <c r="AG42" s="100">
        <f>+VLOOKUP($AA$42,$AA$16:$AI$41,7,FALSE)</f>
        <v>6.85</v>
      </c>
      <c r="AH42" s="100">
        <f>+VLOOKUP($AA$42,$AA$16:$AI$41,8,FALSE)</f>
        <v>6.6</v>
      </c>
      <c r="AI42" s="100">
        <f>+VLOOKUP($AA$42,$AA$16:$AI$41,9,FALSE)</f>
        <v>7.05</v>
      </c>
      <c r="AK42" t="str">
        <f>+DIM!$AK$20&amp;"+"&amp;DIM!$S$14</f>
        <v>151+250</v>
      </c>
      <c r="AL42" s="100">
        <f>+VLOOKUP($AK$42,$AK$16:$AS$41,2,FALSE)</f>
        <v>5.7</v>
      </c>
      <c r="AM42" s="100">
        <f>+VLOOKUP($AK$42,$AK$16:$AS$41,3,FALSE)</f>
        <v>6.4</v>
      </c>
      <c r="AN42" s="100">
        <f>+VLOOKUP($AK$42,$AK$16:$AS$41,4,FALSE)</f>
        <v>6.1</v>
      </c>
      <c r="AO42" s="100">
        <f>+VLOOKUP($AK$42,$AK$16:$AS$41,5,FALSE)</f>
        <v>6.7</v>
      </c>
      <c r="AP42" s="100">
        <f>+VLOOKUP($AK$42,$AK$16:$AS$41,6,FALSE)</f>
        <v>6.1</v>
      </c>
      <c r="AQ42" s="100">
        <f>+VLOOKUP($AK$42,$AK$16:$AS$41,7,FALSE)</f>
        <v>6.7</v>
      </c>
      <c r="AR42" s="100">
        <f>+VLOOKUP($AK$42,$AK$16:$AS$41,8,FALSE)</f>
        <v>6.2</v>
      </c>
      <c r="AS42" s="100">
        <f>+VLOOKUP($AK$42,$AK$16:$AS$41,9,FALSE)</f>
        <v>6.8</v>
      </c>
      <c r="AU42" t="str">
        <f>+DIM!$AK$20&amp;"+"&amp;DIM!$S$14</f>
        <v>151+250</v>
      </c>
      <c r="AV42" s="100">
        <f>+VLOOKUP($AU$42,$AU$16:$BC$41,2,FALSE)</f>
        <v>7.05</v>
      </c>
      <c r="AW42" s="100">
        <f>+VLOOKUP($AU$42,$AU$16:$BC$41,3,FALSE)</f>
        <v>7.55</v>
      </c>
      <c r="AX42" s="100">
        <f>+VLOOKUP($AU$42,$AU$16:$BC$41,4,FALSE)</f>
        <v>7.25</v>
      </c>
      <c r="AY42" s="100">
        <f>+VLOOKUP($AU$42,$AU$16:$BC$41,5,FALSE)</f>
        <v>7.8</v>
      </c>
      <c r="AZ42" s="100">
        <f>+VLOOKUP($AU$42,$AU$16:$BC$41,6,FALSE)</f>
        <v>7.35</v>
      </c>
      <c r="BA42" s="100">
        <f>+VLOOKUP($AU$42,$AU$16:$BC$41,7,FALSE)</f>
        <v>7.9</v>
      </c>
      <c r="BB42" s="100">
        <f>+VLOOKUP($AU$42,$AU$16:$BC$41,8,FALSE)</f>
        <v>7.5</v>
      </c>
      <c r="BC42" s="100">
        <f>+VLOOKUP($AU$42,$AU$16:$BC$41,9,FALSE)</f>
        <v>8.0500000000000007</v>
      </c>
      <c r="BE42" t="str">
        <f>+DIM!$AK$20&amp;"+"&amp;DIM!$S$14</f>
        <v>151+250</v>
      </c>
      <c r="BF42" s="100">
        <f>+VLOOKUP($BE$42,$BE$16:$BM$41,2,FALSE)</f>
        <v>6.6</v>
      </c>
      <c r="BG42" s="100">
        <f>+VLOOKUP($BE$42,$BE$16:$BM$41,3,FALSE)</f>
        <v>7.3</v>
      </c>
      <c r="BH42" s="100">
        <f>+VLOOKUP($BE$42,$BE$16:$BM$41,4,FALSE)</f>
        <v>6.6</v>
      </c>
      <c r="BI42" s="100">
        <f>+VLOOKUP($BE$42,$BE$16:$BM$41,5,FALSE)</f>
        <v>7.4</v>
      </c>
      <c r="BJ42" s="100">
        <f>+VLOOKUP($BE$42,$BE$16:$BM$41,6,FALSE)</f>
        <v>6.7</v>
      </c>
      <c r="BK42" s="100">
        <f>+VLOOKUP($BE$42,$BE$16:$BM$41,7,FALSE)</f>
        <v>7.5</v>
      </c>
      <c r="BL42" s="100">
        <f>+VLOOKUP($BE$42,$BE$16:$BM$41,8,FALSE)</f>
        <v>6.8</v>
      </c>
      <c r="BM42" s="100">
        <f>+VLOOKUP($BE$42,$BE$16:$BM$41,9,FALSE)</f>
        <v>7.5</v>
      </c>
    </row>
    <row r="43" spans="2:65" hidden="1" x14ac:dyDescent="0.2">
      <c r="F43" t="s">
        <v>47</v>
      </c>
      <c r="G43" t="str">
        <f>+DIM!AD15</f>
        <v>1C</v>
      </c>
      <c r="H43" s="239">
        <f>+IF(DIM!$AD$15=$H$15,H42,I42)</f>
        <v>5.05</v>
      </c>
      <c r="I43" s="239"/>
      <c r="J43" s="239">
        <f>+IF(DIM!$AD$15=$H$15,J42,K42)</f>
        <v>5.3</v>
      </c>
      <c r="K43" s="239"/>
      <c r="L43" s="239">
        <f>+IF(DIM!$AD$15=$H$15,L42,M42)</f>
        <v>5.5</v>
      </c>
      <c r="M43" s="239"/>
      <c r="N43" s="239">
        <f>+IF(DIM!$AD$15=$H$15,N42,O42)</f>
        <v>5.75</v>
      </c>
      <c r="O43" s="239"/>
      <c r="Q43" t="str">
        <f>+DIM!AD15</f>
        <v>1C</v>
      </c>
      <c r="R43" s="235"/>
      <c r="S43" s="236"/>
      <c r="T43" s="235"/>
      <c r="U43" s="236"/>
      <c r="V43" s="235"/>
      <c r="W43" s="236"/>
      <c r="X43" s="235"/>
      <c r="Y43" s="236"/>
      <c r="AA43" t="str">
        <f>+DIM!AD15</f>
        <v>1C</v>
      </c>
      <c r="AB43" s="240">
        <f>+IF(DIM!$AD$15=$H$15,AB42,AC42)</f>
        <v>6.35</v>
      </c>
      <c r="AC43" s="241"/>
      <c r="AD43" s="240">
        <f>+IF(DIM!$AD$15=$H$15,AD42,AE42)</f>
        <v>6.7</v>
      </c>
      <c r="AE43" s="241"/>
      <c r="AF43" s="240">
        <f>+IF(DIM!$AD$15=$H$15,AF42,AG42)</f>
        <v>6.85</v>
      </c>
      <c r="AG43" s="241"/>
      <c r="AH43" s="240">
        <f>+IF(DIM!$AD$15=$H$15,AH42,AI42)</f>
        <v>7.05</v>
      </c>
      <c r="AI43" s="241"/>
      <c r="AK43" t="str">
        <f>+DIM!AD15</f>
        <v>1C</v>
      </c>
      <c r="AL43" s="240">
        <f>+IF(DIM!$AD$15=$H$15,AL42,AM42)</f>
        <v>6.4</v>
      </c>
      <c r="AM43" s="241"/>
      <c r="AN43" s="240">
        <f>+IF(DIM!$AD$15=$H$15,AN42,AO42)</f>
        <v>6.7</v>
      </c>
      <c r="AO43" s="241"/>
      <c r="AP43" s="240">
        <f>+IF(DIM!$AD$15=$H$15,AP42,AQ42)</f>
        <v>6.7</v>
      </c>
      <c r="AQ43" s="241"/>
      <c r="AR43" s="240">
        <f>+IF(DIM!$AD$15=$H$15,AR42,AS42)</f>
        <v>6.8</v>
      </c>
      <c r="AS43" s="241"/>
      <c r="AU43" t="str">
        <f>+AK43</f>
        <v>1C</v>
      </c>
      <c r="AV43" s="240">
        <f>+IF(DIM!$AD$15=$H$15,AV42,AW42)</f>
        <v>7.55</v>
      </c>
      <c r="AW43" s="241"/>
      <c r="AX43" s="240">
        <f>+IF(DIM!$AD$15=$H$15,AX42,AY42)</f>
        <v>7.8</v>
      </c>
      <c r="AY43" s="241"/>
      <c r="AZ43" s="240">
        <f>+IF(DIM!$AD$15=$H$15,AZ42,BA42)</f>
        <v>7.9</v>
      </c>
      <c r="BA43" s="241"/>
      <c r="BB43" s="240">
        <f>+IF(DIM!$AD$15=$H$15,BB42,BC42)</f>
        <v>8.0500000000000007</v>
      </c>
      <c r="BC43" s="241"/>
      <c r="BE43" t="str">
        <f>+AU43</f>
        <v>1C</v>
      </c>
      <c r="BF43" s="240">
        <f>+IF(DIM!$AD$15=$H$15,BF42,BG42)</f>
        <v>7.3</v>
      </c>
      <c r="BG43" s="241"/>
      <c r="BH43" s="240">
        <f>+IF(DIM!$AD$15=$H$15,BH42,BI42)</f>
        <v>7.4</v>
      </c>
      <c r="BI43" s="241"/>
      <c r="BJ43" s="240">
        <f>+IF(DIM!$AD$15=$H$15,BJ42,BK42)</f>
        <v>7.5</v>
      </c>
      <c r="BK43" s="241"/>
      <c r="BL43" s="240">
        <f>+IF(DIM!$AD$15=$H$15,BL42,BM42)</f>
        <v>7.5</v>
      </c>
      <c r="BM43" s="241"/>
    </row>
    <row r="44" spans="2:65" hidden="1" x14ac:dyDescent="0.2">
      <c r="B44" t="str">
        <f>IF(E45&gt;20,"hauteur hourdis non disponible",IF(E45=12,"predal-seacoustic hauteur hourdis 15 mini ",+"plancher"&amp;" "&amp;"PREDAL-SEACOUSTIC"&amp;" "&amp;E45&amp;" "&amp;"+"&amp;" "&amp;G44))</f>
        <v xml:space="preserve">predal-seacoustic hauteur hourdis 15 mini </v>
      </c>
      <c r="F44" t="s">
        <v>48</v>
      </c>
      <c r="G44" s="101">
        <f>+DIM!S32</f>
        <v>5</v>
      </c>
      <c r="K44" s="102">
        <f>+HLOOKUP(G44,H14:O43,30,FALSE)</f>
        <v>5.05</v>
      </c>
      <c r="Q44" s="101">
        <f>+DIM!S32</f>
        <v>5</v>
      </c>
      <c r="U44" s="102" t="s">
        <v>100</v>
      </c>
      <c r="AA44" s="101">
        <f>+DIM!S32</f>
        <v>5</v>
      </c>
      <c r="AE44" s="102">
        <f>+HLOOKUP(AA44,AB14:AI43,30,FALSE)</f>
        <v>6.35</v>
      </c>
      <c r="AK44" s="101">
        <f>+AA44</f>
        <v>5</v>
      </c>
      <c r="AO44" s="102">
        <f>+HLOOKUP(AK44,AL14:AS43,30,FALSE)</f>
        <v>6.4</v>
      </c>
      <c r="AU44" s="100">
        <f>+AK44</f>
        <v>5</v>
      </c>
      <c r="AY44" s="102">
        <f>+HLOOKUP(AU44,AV14:BC43,30,FALSE)</f>
        <v>7.55</v>
      </c>
      <c r="BE44" s="101">
        <f>+AU44</f>
        <v>5</v>
      </c>
      <c r="BI44" s="102">
        <f>+HLOOKUP(BE44,BF14:BM43,30,FALSE)</f>
        <v>7.3</v>
      </c>
    </row>
    <row r="45" spans="2:65" hidden="1" x14ac:dyDescent="0.2">
      <c r="E45">
        <f>+DIM!Q32</f>
        <v>12</v>
      </c>
      <c r="F45" t="s">
        <v>65</v>
      </c>
      <c r="G45" t="str">
        <f>IF(E45&gt;20,"hauteur hourdis non disponible",IF(E45=12,IF(G46=60,"hauteur hourdis 15 mini pour REI60",+"plancher"&amp;" "&amp;"EBS"&amp;" "&amp;E45&amp;" "&amp;"+" &amp;" "&amp;G44),+"plancher"&amp;" "&amp;"EBS"&amp;" "&amp;E45&amp;" "&amp;"+" &amp;" "&amp;G44))</f>
        <v>plancher EBS 12 + 5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2:65" hidden="1" x14ac:dyDescent="0.2">
      <c r="F46" t="s">
        <v>61</v>
      </c>
      <c r="G46">
        <f>+DIM!L22</f>
        <v>30</v>
      </c>
      <c r="K46" s="98">
        <f>+HLOOKUP(G44,H14:O40,27,FALSE)</f>
        <v>188</v>
      </c>
      <c r="U46" s="98">
        <f>+HLOOKUP(Q44,R14:Y40,24,FALSE)</f>
        <v>0</v>
      </c>
      <c r="AE46" s="98">
        <f>+HLOOKUP(AA44,AB14:AI40,27,FALSE)</f>
        <v>211</v>
      </c>
      <c r="AO46" s="98">
        <f>+HLOOKUP(AK44,AL14:AS40,27,FALSE)</f>
        <v>211</v>
      </c>
      <c r="AY46" s="98">
        <f>+HLOOKUP(AU44,AV14:BC40,27,FALSE)</f>
        <v>272</v>
      </c>
      <c r="BI46" s="98">
        <f>+HLOOKUP(BE44,BF14:BM40,27,FALSE)</f>
        <v>272</v>
      </c>
    </row>
    <row r="47" spans="2:65" hidden="1" x14ac:dyDescent="0.2">
      <c r="F47">
        <v>12</v>
      </c>
      <c r="G47">
        <f>+IF($G$46=30,K44,U44)</f>
        <v>5.05</v>
      </c>
      <c r="H47">
        <f>+IF($G$46=30,K46,U46)</f>
        <v>188</v>
      </c>
      <c r="I47">
        <f>+IF($G$46=30,K47,U47)</f>
        <v>62.5</v>
      </c>
      <c r="J47">
        <f>+IF($G$46=30,K48,U48)</f>
        <v>14.85</v>
      </c>
      <c r="K47" s="98">
        <f>+HLOOKUP(G44,H14:O41,28,FALSE)</f>
        <v>62.5</v>
      </c>
      <c r="U47" s="98">
        <f>+HLOOKUP(Q44,R14:Y41,25,FALSE)</f>
        <v>0</v>
      </c>
      <c r="AE47" s="98">
        <f>+HLOOKUP(AA44,AB14:AI41,28,FALSE)</f>
        <v>70</v>
      </c>
      <c r="AO47" s="98">
        <f>+HLOOKUP(AK44,AL14:AS41,28,FALSE)</f>
        <v>70</v>
      </c>
      <c r="AY47" s="98">
        <f>+HLOOKUP(AU44,AV14:BC41,28,FALSE)</f>
        <v>86</v>
      </c>
      <c r="BI47" s="98">
        <f>+HLOOKUP(BE44,BF14:BM41,28,FALSE)</f>
        <v>86</v>
      </c>
    </row>
    <row r="48" spans="2:65" hidden="1" x14ac:dyDescent="0.2">
      <c r="F48">
        <v>15</v>
      </c>
      <c r="G48">
        <f>+IF($G$46=30,AE44,AO44)</f>
        <v>6.35</v>
      </c>
      <c r="H48">
        <f>+IF($G$46=30,AE46,AO46)</f>
        <v>211</v>
      </c>
      <c r="I48">
        <f>+IF($G$46=30,AE47,AO47)</f>
        <v>70</v>
      </c>
      <c r="J48">
        <f>+IF($G$46=30,AE48,AO48)</f>
        <v>16.72</v>
      </c>
      <c r="K48" s="98">
        <f>+HLOOKUP(K45,H113:O115,3,FALSE)</f>
        <v>14.85</v>
      </c>
      <c r="U48" s="98">
        <f>+HLOOKUP(U45,R113:Y115,3,FALSE)</f>
        <v>14.85</v>
      </c>
      <c r="AE48" s="98">
        <f>+HLOOKUP(AE45,AB113:AI115,3,FALSE)</f>
        <v>16.72</v>
      </c>
      <c r="AO48" s="98">
        <f>+HLOOKUP(AO45,AL113:AS115,3,FALSE)</f>
        <v>16.72</v>
      </c>
      <c r="AY48" s="98">
        <f>+HLOOKUP(AY45,AV113:BC115,3,FALSE)</f>
        <v>20.98</v>
      </c>
    </row>
    <row r="49" spans="5:65" ht="19.5" hidden="1" x14ac:dyDescent="0.35">
      <c r="F49">
        <v>20</v>
      </c>
      <c r="G49">
        <f>+IF($G$46=30,AY44,BI44)</f>
        <v>7.55</v>
      </c>
      <c r="H49">
        <f>+IF($G$46=30,AY46,BI46)</f>
        <v>272</v>
      </c>
      <c r="I49">
        <f>+IF($G$46=30,AY47,BI47)</f>
        <v>86</v>
      </c>
      <c r="J49">
        <f>+IF($G$46=30,AY48,BI48)</f>
        <v>20.98</v>
      </c>
      <c r="K49" s="97">
        <v>12</v>
      </c>
      <c r="U49" s="97">
        <v>12</v>
      </c>
      <c r="AE49" s="97">
        <v>15</v>
      </c>
      <c r="AF49" s="97" t="s">
        <v>96</v>
      </c>
      <c r="AO49" s="97">
        <v>15</v>
      </c>
      <c r="AP49" s="97" t="s">
        <v>97</v>
      </c>
      <c r="AY49" s="97">
        <v>20</v>
      </c>
      <c r="AZ49" s="97" t="s">
        <v>96</v>
      </c>
      <c r="BI49" s="97">
        <v>20</v>
      </c>
      <c r="BJ49" s="97" t="s">
        <v>97</v>
      </c>
    </row>
    <row r="50" spans="5:65" hidden="1" x14ac:dyDescent="0.2">
      <c r="E50" t="s">
        <v>70</v>
      </c>
      <c r="F50" t="s">
        <v>74</v>
      </c>
      <c r="G50">
        <f>IF(E45&gt;20,"--",+VLOOKUP(DIM!Q32,F47:I49,2,FALSE))</f>
        <v>5.05</v>
      </c>
      <c r="K50" s="98" t="s">
        <v>78</v>
      </c>
      <c r="U50" s="98" t="s">
        <v>83</v>
      </c>
      <c r="AE50" s="98" t="s">
        <v>84</v>
      </c>
      <c r="AO50" s="98" t="s">
        <v>84</v>
      </c>
      <c r="AY50" s="98" t="s">
        <v>84</v>
      </c>
      <c r="BI50" s="98" t="s">
        <v>78</v>
      </c>
    </row>
    <row r="51" spans="5:65" hidden="1" x14ac:dyDescent="0.2">
      <c r="F51" t="s">
        <v>75</v>
      </c>
      <c r="G51">
        <f>IF(E45&gt;20,0,+VLOOKUP(DIM!Q32,F47:I49,3,FALSE))</f>
        <v>188</v>
      </c>
    </row>
    <row r="52" spans="5:65" hidden="1" x14ac:dyDescent="0.2">
      <c r="F52" t="s">
        <v>72</v>
      </c>
      <c r="G52">
        <f>IF(E45&gt;20,0,+VLOOKUP(DIM!Q32,F47:I49,4,FALSE))</f>
        <v>62.5</v>
      </c>
    </row>
    <row r="53" spans="5:65" hidden="1" x14ac:dyDescent="0.2">
      <c r="F53" t="s">
        <v>275</v>
      </c>
      <c r="G53">
        <f>IF(E45&gt;20,0,+VLOOKUP(DIM!Q32,F47:J49,5,FALSE))</f>
        <v>14.85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M56" s="97" t="s">
        <v>96</v>
      </c>
      <c r="U56" s="97">
        <v>12</v>
      </c>
      <c r="V56" s="97" t="s">
        <v>87</v>
      </c>
      <c r="AE56" s="97">
        <v>15</v>
      </c>
      <c r="AF56" s="97" t="s">
        <v>87</v>
      </c>
      <c r="AG56" s="97" t="s">
        <v>96</v>
      </c>
      <c r="AO56" s="97">
        <v>15</v>
      </c>
      <c r="AP56" s="97" t="s">
        <v>87</v>
      </c>
      <c r="AQ56" s="97" t="s">
        <v>97</v>
      </c>
      <c r="AY56" s="97">
        <v>20</v>
      </c>
      <c r="AZ56" s="97" t="s">
        <v>87</v>
      </c>
      <c r="BA56" s="97" t="s">
        <v>96</v>
      </c>
      <c r="BI56" s="97">
        <v>20</v>
      </c>
      <c r="BJ56" s="97" t="s">
        <v>87</v>
      </c>
      <c r="BK56" s="97" t="s">
        <v>97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78</v>
      </c>
      <c r="AY57" s="98" t="s">
        <v>84</v>
      </c>
      <c r="BI57" s="98" t="s">
        <v>78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>
        <v>158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237" t="s">
        <v>302</v>
      </c>
      <c r="I59" s="237"/>
      <c r="J59" s="237" t="s">
        <v>303</v>
      </c>
      <c r="K59" s="237"/>
      <c r="L59" s="237" t="s">
        <v>304</v>
      </c>
      <c r="M59" s="237"/>
      <c r="N59" s="237" t="s">
        <v>305</v>
      </c>
      <c r="O59" s="237"/>
      <c r="R59" s="237" t="s">
        <v>302</v>
      </c>
      <c r="S59" s="237"/>
      <c r="T59" s="237" t="s">
        <v>303</v>
      </c>
      <c r="U59" s="237"/>
      <c r="V59" s="237" t="s">
        <v>304</v>
      </c>
      <c r="W59" s="237"/>
      <c r="X59" s="237" t="s">
        <v>305</v>
      </c>
      <c r="Y59" s="237"/>
      <c r="AB59" s="237" t="s">
        <v>306</v>
      </c>
      <c r="AC59" s="237"/>
      <c r="AD59" s="237" t="s">
        <v>307</v>
      </c>
      <c r="AE59" s="237"/>
      <c r="AF59" s="237" t="s">
        <v>308</v>
      </c>
      <c r="AG59" s="237"/>
      <c r="AH59" s="237" t="s">
        <v>309</v>
      </c>
      <c r="AI59" s="237"/>
      <c r="AL59" s="237" t="s">
        <v>306</v>
      </c>
      <c r="AM59" s="237"/>
      <c r="AN59" s="237" t="s">
        <v>307</v>
      </c>
      <c r="AO59" s="237"/>
      <c r="AP59" s="237" t="s">
        <v>308</v>
      </c>
      <c r="AQ59" s="237"/>
      <c r="AR59" s="237" t="s">
        <v>309</v>
      </c>
      <c r="AS59" s="237"/>
      <c r="AV59" s="237" t="s">
        <v>310</v>
      </c>
      <c r="AW59" s="237"/>
      <c r="AX59" s="237" t="s">
        <v>311</v>
      </c>
      <c r="AY59" s="237"/>
      <c r="AZ59" s="237" t="s">
        <v>312</v>
      </c>
      <c r="BA59" s="237"/>
      <c r="BB59" s="237" t="s">
        <v>313</v>
      </c>
      <c r="BC59" s="237"/>
      <c r="BF59" s="237" t="s">
        <v>310</v>
      </c>
      <c r="BG59" s="237"/>
      <c r="BH59" s="237" t="s">
        <v>311</v>
      </c>
      <c r="BI59" s="237"/>
      <c r="BJ59" s="237" t="s">
        <v>312</v>
      </c>
      <c r="BK59" s="237"/>
      <c r="BL59" s="237" t="s">
        <v>313</v>
      </c>
      <c r="BM59" s="237"/>
    </row>
    <row r="60" spans="5:65" hidden="1" x14ac:dyDescent="0.2">
      <c r="H60" s="237">
        <v>5</v>
      </c>
      <c r="I60" s="237"/>
      <c r="J60" s="237">
        <v>6</v>
      </c>
      <c r="K60" s="237"/>
      <c r="L60" s="237">
        <v>7</v>
      </c>
      <c r="M60" s="237"/>
      <c r="N60" s="237">
        <v>8</v>
      </c>
      <c r="O60" s="237"/>
      <c r="R60" s="237">
        <v>5</v>
      </c>
      <c r="S60" s="237"/>
      <c r="T60" s="237">
        <v>6</v>
      </c>
      <c r="U60" s="237"/>
      <c r="V60" s="237">
        <v>7</v>
      </c>
      <c r="W60" s="237"/>
      <c r="X60" s="237">
        <v>8</v>
      </c>
      <c r="Y60" s="237"/>
      <c r="AB60" s="237">
        <v>5</v>
      </c>
      <c r="AC60" s="237"/>
      <c r="AD60" s="237">
        <v>6</v>
      </c>
      <c r="AE60" s="237"/>
      <c r="AF60" s="237">
        <v>7</v>
      </c>
      <c r="AG60" s="237"/>
      <c r="AH60" s="237">
        <v>8</v>
      </c>
      <c r="AI60" s="237"/>
      <c r="AL60" s="237">
        <v>5</v>
      </c>
      <c r="AM60" s="237"/>
      <c r="AN60" s="237">
        <v>6</v>
      </c>
      <c r="AO60" s="237"/>
      <c r="AP60" s="237">
        <v>7</v>
      </c>
      <c r="AQ60" s="237"/>
      <c r="AR60" s="237">
        <v>8</v>
      </c>
      <c r="AS60" s="237"/>
      <c r="AV60" s="237">
        <v>5</v>
      </c>
      <c r="AW60" s="237"/>
      <c r="AX60" s="237">
        <v>6</v>
      </c>
      <c r="AY60" s="237"/>
      <c r="AZ60" s="237">
        <v>7</v>
      </c>
      <c r="BA60" s="237"/>
      <c r="BB60" s="237">
        <v>8</v>
      </c>
      <c r="BC60" s="237"/>
      <c r="BF60" s="237">
        <v>5</v>
      </c>
      <c r="BG60" s="237"/>
      <c r="BH60" s="237">
        <v>6</v>
      </c>
      <c r="BI60" s="237"/>
      <c r="BJ60" s="237">
        <v>7</v>
      </c>
      <c r="BK60" s="237"/>
      <c r="BL60" s="237">
        <v>8</v>
      </c>
      <c r="BM60" s="237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34</v>
      </c>
      <c r="Q62" t="s">
        <v>34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8.6999999999999993</v>
      </c>
      <c r="AI62">
        <v>9</v>
      </c>
      <c r="AK62" t="s">
        <v>161</v>
      </c>
      <c r="AL62">
        <v>7.7</v>
      </c>
      <c r="AM62">
        <v>8.4</v>
      </c>
      <c r="AN62">
        <v>8.1999999999999993</v>
      </c>
      <c r="AO62">
        <v>8.6</v>
      </c>
      <c r="AP62">
        <v>8.4</v>
      </c>
      <c r="AQ62">
        <v>8.6999999999999993</v>
      </c>
      <c r="AR62">
        <v>8.3000000000000007</v>
      </c>
      <c r="AS62">
        <v>8.9</v>
      </c>
      <c r="AU62" t="s">
        <v>161</v>
      </c>
      <c r="AV62">
        <v>8.8000000000000007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  <c r="BF62">
        <v>8.6</v>
      </c>
      <c r="BG62">
        <v>9</v>
      </c>
      <c r="BH62">
        <v>8.6999999999999993</v>
      </c>
      <c r="BI62">
        <v>9</v>
      </c>
      <c r="BJ62">
        <v>8.4</v>
      </c>
      <c r="BK62">
        <v>9</v>
      </c>
      <c r="BL62">
        <f>0.1+BJ62</f>
        <v>8.5</v>
      </c>
      <c r="BM62">
        <v>9</v>
      </c>
    </row>
    <row r="63" spans="5:65" hidden="1" x14ac:dyDescent="0.2">
      <c r="G63" t="s">
        <v>34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7.3</v>
      </c>
      <c r="AM63">
        <v>7.9</v>
      </c>
      <c r="AN63">
        <v>7.7</v>
      </c>
      <c r="AO63">
        <v>8.3000000000000007</v>
      </c>
      <c r="AP63">
        <v>7.8</v>
      </c>
      <c r="AQ63">
        <v>8.4</v>
      </c>
      <c r="AR63">
        <v>7.9</v>
      </c>
      <c r="AS63">
        <v>8.5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8.3000000000000007</v>
      </c>
      <c r="BG63">
        <v>8.9</v>
      </c>
      <c r="BH63">
        <v>8.4</v>
      </c>
      <c r="BI63">
        <v>9</v>
      </c>
      <c r="BJ63">
        <v>8.4</v>
      </c>
      <c r="BK63">
        <v>9</v>
      </c>
      <c r="BL63">
        <f>0.1+BJ63</f>
        <v>8.5</v>
      </c>
      <c r="BM63">
        <v>9</v>
      </c>
    </row>
    <row r="64" spans="5:65" hidden="1" x14ac:dyDescent="0.2">
      <c r="G64" t="s">
        <v>35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6.9</v>
      </c>
      <c r="AM64">
        <v>7.5</v>
      </c>
      <c r="AN64">
        <v>7.4</v>
      </c>
      <c r="AO64">
        <v>7.9</v>
      </c>
      <c r="AP64">
        <v>7.4</v>
      </c>
      <c r="AQ64">
        <v>8</v>
      </c>
      <c r="AR64">
        <v>7.5</v>
      </c>
      <c r="AS64">
        <v>8.1</v>
      </c>
      <c r="AU64" t="s">
        <v>35</v>
      </c>
      <c r="AV64">
        <v>8.4</v>
      </c>
      <c r="AW64">
        <v>9.1999999999999993</v>
      </c>
      <c r="AX64">
        <v>8.6</v>
      </c>
      <c r="AY64">
        <v>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8</v>
      </c>
      <c r="BG64">
        <v>8.5</v>
      </c>
      <c r="BH64">
        <v>8</v>
      </c>
      <c r="BI64">
        <v>8.6</v>
      </c>
      <c r="BJ64">
        <v>8.1</v>
      </c>
      <c r="BK64">
        <v>8.6999999999999993</v>
      </c>
      <c r="BL64">
        <f t="shared" ref="BL64:BL85" si="5">0.1+BJ64</f>
        <v>8.1999999999999993</v>
      </c>
      <c r="BM64">
        <v>8.6999999999999993</v>
      </c>
    </row>
    <row r="65" spans="7:65" hidden="1" x14ac:dyDescent="0.2">
      <c r="G65" t="s">
        <v>36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7.2</v>
      </c>
      <c r="AN65">
        <v>7</v>
      </c>
      <c r="AO65">
        <v>7.6</v>
      </c>
      <c r="AP65">
        <v>7.1</v>
      </c>
      <c r="AQ65">
        <v>7.7</v>
      </c>
      <c r="AR65">
        <v>7.2</v>
      </c>
      <c r="AS65">
        <v>7.8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7.6</v>
      </c>
      <c r="BG65">
        <v>8.1999999999999993</v>
      </c>
      <c r="BH65">
        <v>7.7</v>
      </c>
      <c r="BI65">
        <v>8.3000000000000007</v>
      </c>
      <c r="BJ65">
        <v>7.8</v>
      </c>
      <c r="BK65">
        <v>8.4</v>
      </c>
      <c r="BL65">
        <f t="shared" si="5"/>
        <v>7.8999999999999995</v>
      </c>
      <c r="BM65">
        <v>8.4</v>
      </c>
    </row>
    <row r="66" spans="7:65" hidden="1" x14ac:dyDescent="0.2">
      <c r="G66" t="s">
        <v>37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6.3</v>
      </c>
      <c r="AM66">
        <v>6.9</v>
      </c>
      <c r="AN66">
        <v>6.8</v>
      </c>
      <c r="AO66">
        <v>7.3</v>
      </c>
      <c r="AP66">
        <v>6.9</v>
      </c>
      <c r="AQ66">
        <v>7.4</v>
      </c>
      <c r="AR66">
        <v>7</v>
      </c>
      <c r="AS66">
        <v>7.5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7.4</v>
      </c>
      <c r="BG66">
        <v>7.9</v>
      </c>
      <c r="BH66">
        <v>7.5</v>
      </c>
      <c r="BI66">
        <v>8</v>
      </c>
      <c r="BJ66">
        <v>7.6</v>
      </c>
      <c r="BK66">
        <v>8.1</v>
      </c>
      <c r="BL66">
        <v>7.6</v>
      </c>
      <c r="BM66">
        <v>8.1</v>
      </c>
    </row>
    <row r="67" spans="7:65" hidden="1" x14ac:dyDescent="0.2">
      <c r="G67" t="s">
        <v>80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</v>
      </c>
      <c r="AM67">
        <v>6.6</v>
      </c>
      <c r="AN67">
        <v>6.5</v>
      </c>
      <c r="AO67">
        <v>7</v>
      </c>
      <c r="AP67">
        <v>6.6</v>
      </c>
      <c r="AQ67">
        <v>7.1</v>
      </c>
      <c r="AR67">
        <v>6.7</v>
      </c>
      <c r="AS67">
        <v>7.2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7.1</v>
      </c>
      <c r="BG67">
        <v>7.6</v>
      </c>
      <c r="BH67">
        <v>7</v>
      </c>
      <c r="BI67">
        <v>7.7</v>
      </c>
      <c r="BJ67">
        <v>7.1</v>
      </c>
      <c r="BK67">
        <v>7.8</v>
      </c>
      <c r="BL67">
        <v>7.3</v>
      </c>
      <c r="BM67">
        <v>7.8</v>
      </c>
    </row>
    <row r="68" spans="7:65" hidden="1" x14ac:dyDescent="0.2">
      <c r="G68" t="s">
        <v>38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5.7</v>
      </c>
      <c r="AM68">
        <v>6.2</v>
      </c>
      <c r="AN68">
        <v>6.1</v>
      </c>
      <c r="AO68">
        <v>6.5</v>
      </c>
      <c r="AP68">
        <v>6.2</v>
      </c>
      <c r="AQ68">
        <v>6.6</v>
      </c>
      <c r="AR68">
        <v>6.3</v>
      </c>
      <c r="AS68">
        <v>6.7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7.3</v>
      </c>
      <c r="BH68">
        <v>6.8</v>
      </c>
      <c r="BI68">
        <v>7.3</v>
      </c>
      <c r="BJ68">
        <v>6.9</v>
      </c>
      <c r="BK68">
        <v>7.4</v>
      </c>
      <c r="BL68">
        <v>6.9</v>
      </c>
      <c r="BM68">
        <v>7.4</v>
      </c>
    </row>
    <row r="69" spans="7:65" hidden="1" x14ac:dyDescent="0.2">
      <c r="G69" t="s">
        <v>39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5.3</v>
      </c>
      <c r="AM69">
        <v>5.8</v>
      </c>
      <c r="AN69">
        <v>5.7</v>
      </c>
      <c r="AO69">
        <v>6.2</v>
      </c>
      <c r="AP69">
        <v>5.8</v>
      </c>
      <c r="AQ69">
        <v>6.3</v>
      </c>
      <c r="AR69">
        <v>5.9</v>
      </c>
      <c r="AS69">
        <v>6.4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6.3</v>
      </c>
      <c r="BG69">
        <v>7</v>
      </c>
      <c r="BH69">
        <v>6.4</v>
      </c>
      <c r="BI69">
        <v>6.9</v>
      </c>
      <c r="BJ69">
        <v>6.5</v>
      </c>
      <c r="BK69">
        <v>7</v>
      </c>
      <c r="BL69">
        <v>6.5</v>
      </c>
      <c r="BM69">
        <v>7</v>
      </c>
    </row>
    <row r="70" spans="7:65" hidden="1" x14ac:dyDescent="0.2">
      <c r="AA70" t="s">
        <v>162</v>
      </c>
      <c r="AB70">
        <v>7.35</v>
      </c>
      <c r="AC70">
        <v>7.8</v>
      </c>
      <c r="AD70">
        <v>7.85</v>
      </c>
      <c r="AE70">
        <v>8.35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L70">
        <v>7.2</v>
      </c>
      <c r="AM70">
        <v>7.5</v>
      </c>
      <c r="AN70">
        <v>7.7</v>
      </c>
      <c r="AO70">
        <v>8.35</v>
      </c>
      <c r="AP70">
        <v>7.8</v>
      </c>
      <c r="AQ70">
        <v>8.3000000000000007</v>
      </c>
      <c r="AR70">
        <v>7.9</v>
      </c>
      <c r="AS70">
        <v>8.5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  <c r="BF70">
        <v>8.3000000000000007</v>
      </c>
      <c r="BG70">
        <v>8.8000000000000007</v>
      </c>
      <c r="BH70">
        <v>8.4</v>
      </c>
      <c r="BI70">
        <v>9</v>
      </c>
      <c r="BJ70">
        <v>8.4</v>
      </c>
      <c r="BK70">
        <v>9</v>
      </c>
      <c r="BL70">
        <v>8.5</v>
      </c>
      <c r="BM70">
        <v>9</v>
      </c>
    </row>
    <row r="71" spans="7:65" hidden="1" x14ac:dyDescent="0.2">
      <c r="G71" t="s">
        <v>40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6.9</v>
      </c>
      <c r="AM71">
        <v>7.2</v>
      </c>
      <c r="AN71">
        <v>7.4</v>
      </c>
      <c r="AO71">
        <v>7.9</v>
      </c>
      <c r="AP71">
        <v>7.4</v>
      </c>
      <c r="AQ71">
        <v>8</v>
      </c>
      <c r="AR71">
        <v>7.5</v>
      </c>
      <c r="AS71">
        <v>8.1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8</v>
      </c>
      <c r="BG71">
        <v>8.5</v>
      </c>
      <c r="BH71">
        <v>8</v>
      </c>
      <c r="BI71">
        <v>8.6</v>
      </c>
      <c r="BJ71">
        <v>8.1</v>
      </c>
      <c r="BK71">
        <v>8.6999999999999993</v>
      </c>
      <c r="BL71">
        <f t="shared" si="5"/>
        <v>8.1999999999999993</v>
      </c>
      <c r="BM71">
        <v>8.6999999999999993</v>
      </c>
    </row>
    <row r="72" spans="7:65" hidden="1" x14ac:dyDescent="0.2">
      <c r="G72" t="s">
        <v>41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6.6</v>
      </c>
      <c r="AM72">
        <v>6.9</v>
      </c>
      <c r="AN72">
        <v>7</v>
      </c>
      <c r="AO72">
        <v>7.5</v>
      </c>
      <c r="AP72">
        <v>7.1</v>
      </c>
      <c r="AQ72">
        <v>7.6</v>
      </c>
      <c r="AR72">
        <v>7.2</v>
      </c>
      <c r="AS72">
        <v>7.7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7.6</v>
      </c>
      <c r="BG72">
        <v>8.1999999999999993</v>
      </c>
      <c r="BH72">
        <v>7.7</v>
      </c>
      <c r="BI72">
        <v>8.3000000000000007</v>
      </c>
      <c r="BJ72">
        <v>7.8</v>
      </c>
      <c r="BK72">
        <v>8.4</v>
      </c>
      <c r="BL72">
        <v>8</v>
      </c>
      <c r="BM72">
        <v>8.4</v>
      </c>
    </row>
    <row r="73" spans="7:65" hidden="1" x14ac:dyDescent="0.2">
      <c r="G73" t="s">
        <v>42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6.4</v>
      </c>
      <c r="AM73">
        <v>6.6</v>
      </c>
      <c r="AN73">
        <v>6.8</v>
      </c>
      <c r="AO73">
        <v>7.2</v>
      </c>
      <c r="AP73">
        <v>6.9</v>
      </c>
      <c r="AQ73">
        <v>7.3</v>
      </c>
      <c r="AR73">
        <v>7</v>
      </c>
      <c r="AS73">
        <v>7.5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7.4</v>
      </c>
      <c r="BG73">
        <v>7.9</v>
      </c>
      <c r="BH73">
        <v>7.5</v>
      </c>
      <c r="BI73">
        <v>8</v>
      </c>
      <c r="BJ73">
        <v>7.6</v>
      </c>
      <c r="BK73">
        <v>8.1</v>
      </c>
      <c r="BL73">
        <v>7.8</v>
      </c>
      <c r="BM73">
        <v>8.1</v>
      </c>
    </row>
    <row r="74" spans="7:65" hidden="1" x14ac:dyDescent="0.2">
      <c r="G74" t="s">
        <v>43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6.1</v>
      </c>
      <c r="AM74">
        <v>6.4</v>
      </c>
      <c r="AN74">
        <v>6.5</v>
      </c>
      <c r="AO74">
        <v>7</v>
      </c>
      <c r="AP74">
        <v>6.6</v>
      </c>
      <c r="AQ74">
        <v>7.1</v>
      </c>
      <c r="AR74">
        <v>6.7</v>
      </c>
      <c r="AS74">
        <v>7.2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7.1</v>
      </c>
      <c r="BG74">
        <v>7.6</v>
      </c>
      <c r="BH74">
        <v>7.2</v>
      </c>
      <c r="BI74">
        <v>7.7</v>
      </c>
      <c r="BJ74">
        <v>7.3</v>
      </c>
      <c r="BK74">
        <v>7.8</v>
      </c>
      <c r="BL74">
        <v>7.5</v>
      </c>
      <c r="BM74">
        <v>7.8</v>
      </c>
    </row>
    <row r="75" spans="7:65" hidden="1" x14ac:dyDescent="0.2">
      <c r="G75" t="s">
        <v>81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5.9</v>
      </c>
      <c r="AM75">
        <v>6.2</v>
      </c>
      <c r="AN75">
        <v>6.3</v>
      </c>
      <c r="AO75">
        <v>6.5</v>
      </c>
      <c r="AP75">
        <v>6.4</v>
      </c>
      <c r="AQ75">
        <v>6.6</v>
      </c>
      <c r="AR75">
        <v>6.5</v>
      </c>
      <c r="AS75">
        <v>6.7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6.9</v>
      </c>
      <c r="BG75">
        <v>7.3</v>
      </c>
      <c r="BH75">
        <v>7</v>
      </c>
      <c r="BI75">
        <v>7.4</v>
      </c>
      <c r="BJ75">
        <v>7.1</v>
      </c>
      <c r="BK75">
        <v>7.5</v>
      </c>
      <c r="BL75">
        <f t="shared" si="5"/>
        <v>7.1999999999999993</v>
      </c>
      <c r="BM75">
        <v>7.5</v>
      </c>
    </row>
    <row r="76" spans="7:65" hidden="1" x14ac:dyDescent="0.2">
      <c r="G76" t="s">
        <v>44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5.5</v>
      </c>
      <c r="AM76">
        <v>5.8</v>
      </c>
      <c r="AN76">
        <v>5.9</v>
      </c>
      <c r="AO76">
        <v>6.2</v>
      </c>
      <c r="AP76">
        <v>6</v>
      </c>
      <c r="AQ76">
        <v>6.3</v>
      </c>
      <c r="AR76">
        <v>6.1</v>
      </c>
      <c r="AS76">
        <v>6.4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</v>
      </c>
      <c r="BG76">
        <v>6.9</v>
      </c>
      <c r="BH76">
        <v>6.6</v>
      </c>
      <c r="BI76">
        <v>7</v>
      </c>
      <c r="BJ76">
        <v>6.7</v>
      </c>
      <c r="BK76">
        <v>7.1</v>
      </c>
      <c r="BL76">
        <f t="shared" si="5"/>
        <v>6.8</v>
      </c>
      <c r="BM76">
        <v>7.1</v>
      </c>
    </row>
    <row r="77" spans="7:65" hidden="1" x14ac:dyDescent="0.2">
      <c r="G77" t="s">
        <v>67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5.2</v>
      </c>
      <c r="AM77">
        <v>5.6</v>
      </c>
      <c r="AN77">
        <v>5.5</v>
      </c>
      <c r="AO77">
        <v>6</v>
      </c>
      <c r="AP77">
        <v>5.6</v>
      </c>
      <c r="AQ77">
        <v>6.1</v>
      </c>
      <c r="AR77">
        <v>5.7</v>
      </c>
      <c r="AS77">
        <v>6.2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6.1</v>
      </c>
      <c r="BG77">
        <v>6.6</v>
      </c>
      <c r="BH77">
        <v>6.2</v>
      </c>
      <c r="BI77">
        <v>6.7</v>
      </c>
      <c r="BJ77">
        <v>6.3</v>
      </c>
      <c r="BK77">
        <v>6.8</v>
      </c>
      <c r="BL77">
        <f t="shared" si="5"/>
        <v>6.3999999999999995</v>
      </c>
      <c r="BM77">
        <v>6.8</v>
      </c>
    </row>
    <row r="78" spans="7:65" hidden="1" x14ac:dyDescent="0.2"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L78">
        <v>6.8</v>
      </c>
      <c r="AM78">
        <v>7.2</v>
      </c>
      <c r="AN78">
        <v>7.3</v>
      </c>
      <c r="AO78">
        <v>7.8</v>
      </c>
      <c r="AP78">
        <v>7.4</v>
      </c>
      <c r="AQ78">
        <v>7.8</v>
      </c>
      <c r="AR78">
        <v>7.4</v>
      </c>
      <c r="AS78">
        <v>7.9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9</v>
      </c>
      <c r="BE78" t="s">
        <v>163</v>
      </c>
      <c r="BF78">
        <v>7.8</v>
      </c>
      <c r="BG78">
        <v>8.3000000000000007</v>
      </c>
      <c r="BH78">
        <v>7.9</v>
      </c>
      <c r="BI78">
        <v>8.4</v>
      </c>
      <c r="BJ78">
        <v>7.9</v>
      </c>
      <c r="BK78">
        <v>8.5</v>
      </c>
      <c r="BL78">
        <v>8</v>
      </c>
      <c r="BM78">
        <v>8.6</v>
      </c>
    </row>
    <row r="79" spans="7:65" hidden="1" x14ac:dyDescent="0.2">
      <c r="G79" t="s">
        <v>50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6.4</v>
      </c>
      <c r="AM79">
        <v>6.4</v>
      </c>
      <c r="AN79">
        <v>6.9</v>
      </c>
      <c r="AO79">
        <v>7.4</v>
      </c>
      <c r="AP79">
        <v>7</v>
      </c>
      <c r="AQ79">
        <v>7.5</v>
      </c>
      <c r="AR79">
        <v>7.1</v>
      </c>
      <c r="AS79">
        <v>7.6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7.5</v>
      </c>
      <c r="BG79">
        <v>8</v>
      </c>
      <c r="BH79">
        <v>7.6</v>
      </c>
      <c r="BI79">
        <v>8.1</v>
      </c>
      <c r="BJ79">
        <v>7.7</v>
      </c>
      <c r="BK79">
        <v>8.1999999999999993</v>
      </c>
      <c r="BL79">
        <v>7.7</v>
      </c>
      <c r="BM79">
        <v>8.1999999999999993</v>
      </c>
    </row>
    <row r="80" spans="7:65" hidden="1" x14ac:dyDescent="0.2">
      <c r="G80" t="s">
        <v>76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6.2</v>
      </c>
      <c r="AM80">
        <v>6.2</v>
      </c>
      <c r="AN80">
        <v>6.6</v>
      </c>
      <c r="AO80">
        <v>7.2</v>
      </c>
      <c r="AP80">
        <v>6.7</v>
      </c>
      <c r="AQ80">
        <v>7.3</v>
      </c>
      <c r="AR80">
        <v>6.8</v>
      </c>
      <c r="AS80">
        <v>7.4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7.2</v>
      </c>
      <c r="BG80">
        <v>7.8</v>
      </c>
      <c r="BH80">
        <v>7.3</v>
      </c>
      <c r="BI80">
        <v>7.9</v>
      </c>
      <c r="BJ80">
        <v>7.4</v>
      </c>
      <c r="BK80">
        <v>8</v>
      </c>
      <c r="BL80">
        <f t="shared" si="5"/>
        <v>7.5</v>
      </c>
      <c r="BM80">
        <v>8</v>
      </c>
    </row>
    <row r="81" spans="2:65" hidden="1" x14ac:dyDescent="0.2">
      <c r="G81" t="s">
        <v>77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6</v>
      </c>
      <c r="AM81">
        <v>6</v>
      </c>
      <c r="AN81">
        <v>6.4</v>
      </c>
      <c r="AO81">
        <v>6.9</v>
      </c>
      <c r="AP81">
        <v>6.5</v>
      </c>
      <c r="AQ81">
        <v>7</v>
      </c>
      <c r="AR81">
        <v>6.6</v>
      </c>
      <c r="AS81">
        <v>7.1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7</v>
      </c>
      <c r="BG81">
        <v>7.5</v>
      </c>
      <c r="BH81">
        <v>7.1</v>
      </c>
      <c r="BI81">
        <v>7.6</v>
      </c>
      <c r="BJ81">
        <v>7.2</v>
      </c>
      <c r="BK81">
        <v>7.7</v>
      </c>
      <c r="BL81">
        <f t="shared" si="5"/>
        <v>7.3</v>
      </c>
      <c r="BM81">
        <v>7.7</v>
      </c>
    </row>
    <row r="82" spans="2:65" hidden="1" x14ac:dyDescent="0.2">
      <c r="G82" t="s">
        <v>46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5.8</v>
      </c>
      <c r="AM82">
        <v>5.8</v>
      </c>
      <c r="AN82">
        <v>6.2</v>
      </c>
      <c r="AO82">
        <v>6.7</v>
      </c>
      <c r="AP82">
        <v>6.3</v>
      </c>
      <c r="AQ82">
        <v>6.8</v>
      </c>
      <c r="AR82">
        <v>6.4</v>
      </c>
      <c r="AS82">
        <v>6.9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6.8</v>
      </c>
      <c r="BG82">
        <v>7.2</v>
      </c>
      <c r="BH82">
        <v>6.9</v>
      </c>
      <c r="BI82">
        <v>7.3</v>
      </c>
      <c r="BJ82">
        <v>7</v>
      </c>
      <c r="BK82">
        <v>7.4</v>
      </c>
      <c r="BL82">
        <f t="shared" si="5"/>
        <v>7.1</v>
      </c>
      <c r="BM82">
        <v>7.4</v>
      </c>
    </row>
    <row r="83" spans="2:65" hidden="1" x14ac:dyDescent="0.2">
      <c r="G83" t="s">
        <v>82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5.6</v>
      </c>
      <c r="AM83">
        <v>5.7</v>
      </c>
      <c r="AN83">
        <v>6</v>
      </c>
      <c r="AO83">
        <v>6.5</v>
      </c>
      <c r="AP83">
        <v>6.1</v>
      </c>
      <c r="AQ83">
        <v>6.6</v>
      </c>
      <c r="AR83">
        <v>6.2</v>
      </c>
      <c r="AS83">
        <v>6.7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6.6</v>
      </c>
      <c r="BG83">
        <v>6.9</v>
      </c>
      <c r="BH83">
        <v>6.7</v>
      </c>
      <c r="BI83">
        <v>7</v>
      </c>
      <c r="BJ83">
        <v>6.8</v>
      </c>
      <c r="BK83">
        <v>7.1</v>
      </c>
      <c r="BL83">
        <f t="shared" si="5"/>
        <v>6.8999999999999995</v>
      </c>
      <c r="BM83">
        <v>7.1</v>
      </c>
    </row>
    <row r="84" spans="2:65" hidden="1" x14ac:dyDescent="0.2">
      <c r="G84" t="s">
        <v>45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5.2</v>
      </c>
      <c r="AM84">
        <v>5.6</v>
      </c>
      <c r="AN84">
        <v>5.5</v>
      </c>
      <c r="AO84">
        <v>6.2</v>
      </c>
      <c r="AP84">
        <v>5.7</v>
      </c>
      <c r="AQ84">
        <v>6.4</v>
      </c>
      <c r="AR84">
        <v>5.9</v>
      </c>
      <c r="AS84">
        <v>6.5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</v>
      </c>
      <c r="BG84">
        <v>6.6</v>
      </c>
      <c r="BH84">
        <v>6.3</v>
      </c>
      <c r="BI84">
        <v>6.8</v>
      </c>
      <c r="BJ84">
        <v>6.4</v>
      </c>
      <c r="BK84">
        <v>6.9</v>
      </c>
      <c r="BL84">
        <f t="shared" si="5"/>
        <v>6.5</v>
      </c>
      <c r="BM84">
        <v>6.9</v>
      </c>
    </row>
    <row r="85" spans="2:65" hidden="1" x14ac:dyDescent="0.2">
      <c r="G85" t="s">
        <v>68</v>
      </c>
      <c r="Q85" t="s">
        <v>68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5</v>
      </c>
      <c r="AM85">
        <v>5.4</v>
      </c>
      <c r="AN85">
        <v>5.3</v>
      </c>
      <c r="AO85">
        <v>5.8</v>
      </c>
      <c r="AP85">
        <v>5.5</v>
      </c>
      <c r="AQ85">
        <v>5.9</v>
      </c>
      <c r="AR85">
        <v>5.7</v>
      </c>
      <c r="AS85">
        <v>6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5.9</v>
      </c>
      <c r="BG85">
        <v>6.4</v>
      </c>
      <c r="BH85">
        <v>6</v>
      </c>
      <c r="BI85">
        <v>6.6</v>
      </c>
      <c r="BJ85">
        <v>6.1</v>
      </c>
      <c r="BK85">
        <v>6.6</v>
      </c>
      <c r="BL85">
        <f t="shared" si="5"/>
        <v>6.1999999999999993</v>
      </c>
      <c r="BM85">
        <v>6.6</v>
      </c>
    </row>
    <row r="86" spans="2:65" hidden="1" x14ac:dyDescent="0.2">
      <c r="G86" t="s">
        <v>71</v>
      </c>
      <c r="H86" s="238"/>
      <c r="I86" s="238"/>
      <c r="J86" s="238"/>
      <c r="K86" s="238"/>
      <c r="L86" s="238"/>
      <c r="M86" s="238"/>
      <c r="N86" s="238"/>
      <c r="O86" s="238"/>
      <c r="R86" s="238">
        <v>179</v>
      </c>
      <c r="S86" s="238"/>
      <c r="T86" s="238">
        <v>244</v>
      </c>
      <c r="U86" s="238"/>
      <c r="V86" s="238">
        <v>267</v>
      </c>
      <c r="W86" s="238"/>
      <c r="X86" s="238">
        <v>290</v>
      </c>
      <c r="Y86" s="238"/>
      <c r="AB86" s="238">
        <v>253</v>
      </c>
      <c r="AC86" s="238"/>
      <c r="AD86" s="238">
        <v>273</v>
      </c>
      <c r="AE86" s="238"/>
      <c r="AF86" s="238">
        <v>296</v>
      </c>
      <c r="AG86" s="238"/>
      <c r="AH86" s="238">
        <v>319</v>
      </c>
      <c r="AI86" s="238"/>
      <c r="AL86" s="238">
        <v>253</v>
      </c>
      <c r="AM86" s="238"/>
      <c r="AN86" s="238">
        <v>273</v>
      </c>
      <c r="AO86" s="238"/>
      <c r="AP86" s="238">
        <v>296</v>
      </c>
      <c r="AQ86" s="238"/>
      <c r="AR86" s="238">
        <v>319</v>
      </c>
      <c r="AS86" s="238"/>
      <c r="AV86" s="238">
        <v>322</v>
      </c>
      <c r="AW86" s="238"/>
      <c r="AX86" s="238">
        <v>345</v>
      </c>
      <c r="AY86" s="238"/>
      <c r="AZ86" s="238">
        <v>368</v>
      </c>
      <c r="BA86" s="238"/>
      <c r="BB86" s="238">
        <v>391</v>
      </c>
      <c r="BC86" s="238"/>
      <c r="BF86" s="238">
        <v>322</v>
      </c>
      <c r="BG86" s="238"/>
      <c r="BH86" s="238">
        <v>345</v>
      </c>
      <c r="BI86" s="238"/>
      <c r="BJ86" s="238">
        <v>368</v>
      </c>
      <c r="BK86" s="238"/>
      <c r="BL86" s="238">
        <v>391</v>
      </c>
      <c r="BM86" s="238"/>
    </row>
    <row r="87" spans="2:65" hidden="1" x14ac:dyDescent="0.2">
      <c r="G87" t="s">
        <v>72</v>
      </c>
      <c r="H87" s="238"/>
      <c r="I87" s="238"/>
      <c r="J87" s="238"/>
      <c r="K87" s="238"/>
      <c r="L87" s="238"/>
      <c r="M87" s="238"/>
      <c r="N87" s="238"/>
      <c r="O87" s="238"/>
      <c r="R87" s="238">
        <v>61</v>
      </c>
      <c r="S87" s="238"/>
      <c r="T87" s="238">
        <v>65.5</v>
      </c>
      <c r="U87" s="238"/>
      <c r="V87" s="238">
        <v>75.5</v>
      </c>
      <c r="W87" s="238"/>
      <c r="X87" s="238">
        <v>83.5</v>
      </c>
      <c r="Y87" s="238"/>
      <c r="AB87" s="238">
        <v>76</v>
      </c>
      <c r="AC87" s="238"/>
      <c r="AD87" s="238">
        <v>78.5</v>
      </c>
      <c r="AE87" s="238"/>
      <c r="AF87" s="238">
        <v>86</v>
      </c>
      <c r="AG87" s="238"/>
      <c r="AH87" s="238">
        <v>96</v>
      </c>
      <c r="AI87" s="238"/>
      <c r="AL87" s="238">
        <v>76</v>
      </c>
      <c r="AM87" s="238"/>
      <c r="AN87" s="238">
        <v>78.5</v>
      </c>
      <c r="AO87" s="238"/>
      <c r="AP87" s="238">
        <v>86</v>
      </c>
      <c r="AQ87" s="238"/>
      <c r="AR87" s="238">
        <v>96</v>
      </c>
      <c r="AS87" s="238"/>
      <c r="AV87" s="238">
        <v>93</v>
      </c>
      <c r="AW87" s="238"/>
      <c r="AX87" s="238">
        <v>103</v>
      </c>
      <c r="AY87" s="238"/>
      <c r="AZ87" s="238">
        <v>113</v>
      </c>
      <c r="BA87" s="238"/>
      <c r="BB87" s="238">
        <v>123</v>
      </c>
      <c r="BC87" s="238"/>
      <c r="BF87" s="238">
        <v>93</v>
      </c>
      <c r="BG87" s="238"/>
      <c r="BH87" s="238">
        <v>103</v>
      </c>
      <c r="BI87" s="238"/>
      <c r="BJ87" s="238">
        <v>113</v>
      </c>
      <c r="BK87" s="238"/>
      <c r="BL87" s="238">
        <v>123</v>
      </c>
      <c r="BM87" s="238"/>
    </row>
    <row r="88" spans="2:65" hidden="1" x14ac:dyDescent="0.2">
      <c r="E88" t="s">
        <v>49</v>
      </c>
      <c r="G88" t="str">
        <f>+DIM!$AK$20&amp;"+"&amp;DIM!$S$14</f>
        <v>151+250</v>
      </c>
      <c r="H88" s="100">
        <f>+VLOOKUP($G$88,$G$62:$O$85,2,FALSE)</f>
        <v>0</v>
      </c>
      <c r="I88" s="100">
        <f>+VLOOKUP($G$88,$G$62:$O$85,3,FALSE)</f>
        <v>0</v>
      </c>
      <c r="J88" s="100">
        <f>+VLOOKUP($G$88,$G$62:$O$85,4,FALSE)</f>
        <v>0</v>
      </c>
      <c r="K88" s="100">
        <f>+VLOOKUP($G$88,$G$62:$O$85,5,FALSE)</f>
        <v>0</v>
      </c>
      <c r="L88" s="100">
        <f>+VLOOKUP($G$88,$G$62:$O$85,6,FALSE)</f>
        <v>0</v>
      </c>
      <c r="M88" s="100">
        <f>+VLOOKUP($G$88,$G$62:$O$85,7,FALSE)</f>
        <v>0</v>
      </c>
      <c r="N88" s="100">
        <f>+VLOOKUP($G$88,$G$62:$O$85,8,FALSE)</f>
        <v>0</v>
      </c>
      <c r="O88" s="100">
        <f>+VLOOKUP($G$88,$G$62:$O$85,9,FALSE)</f>
        <v>0</v>
      </c>
      <c r="Q88" t="str">
        <f>+DIM!$AK$20&amp;"+"&amp;DIM!$S$14</f>
        <v>151+250</v>
      </c>
      <c r="R88" s="100">
        <f>+VLOOKUP($Q$88,$Q$62:$Y$85,2,FALSE)</f>
        <v>0</v>
      </c>
      <c r="S88" s="100">
        <f>+VLOOKUP($Q$88,$Q$62:$Y$85,3,FALSE)</f>
        <v>0</v>
      </c>
      <c r="T88" s="100">
        <f>+VLOOKUP($Q$88,$Q$62:$Y$85,4,FALSE)</f>
        <v>0</v>
      </c>
      <c r="U88" s="100">
        <f>+VLOOKUP($Q$88,$Q$62:$Y$85,5,FALSE)</f>
        <v>0</v>
      </c>
      <c r="V88" s="100">
        <f>+VLOOKUP($Q$88,$Q$62:$Y$85,6,FALSE)</f>
        <v>0</v>
      </c>
      <c r="W88" s="100">
        <f>+VLOOKUP($Q$88,$Q$62:$Y$85,7,FALSE)</f>
        <v>0</v>
      </c>
      <c r="X88" s="100">
        <f>+VLOOKUP($Q$88,$Q$62:$Y$85,8,FALSE)</f>
        <v>0</v>
      </c>
      <c r="Y88" s="100">
        <f>+VLOOKUP($Q$88,$Q$62:$Y$85,9,FALSE)</f>
        <v>0</v>
      </c>
      <c r="AA88" t="str">
        <f>+DIM!$AK$20&amp;"+"&amp;DIM!$S$14</f>
        <v>151+250</v>
      </c>
      <c r="AB88" s="100">
        <f>+VLOOKUP($AA$88,$AA$62:$AI$87,2,FALSE)</f>
        <v>6.75</v>
      </c>
      <c r="AC88" s="100">
        <f>+VLOOKUP($AA$88,$AA$62:$AI$87,3,FALSE)</f>
        <v>7.2</v>
      </c>
      <c r="AD88" s="100">
        <f>+VLOOKUP($AA$88,$AA$62:$AI$87,4,FALSE)</f>
        <v>7.2</v>
      </c>
      <c r="AE88" s="100">
        <f>+VLOOKUP($AA$88,$AA$62:$AI$87,5,FALSE)</f>
        <v>7.7</v>
      </c>
      <c r="AF88" s="100">
        <f>+VLOOKUP($AA$88,$AA$62:$AI$87,6,FALSE)</f>
        <v>7.3</v>
      </c>
      <c r="AG88" s="100">
        <f>+VLOOKUP($AA$88,$AA$62:$AI$87,7,FALSE)</f>
        <v>7.85</v>
      </c>
      <c r="AH88" s="100">
        <f>+VLOOKUP($AA$88,$AA$62:$AI$87,8,FALSE)</f>
        <v>7.5</v>
      </c>
      <c r="AI88" s="100">
        <f>+VLOOKUP($AA$88,$AA$62:$AI$87,9,FALSE)</f>
        <v>8.0500000000000007</v>
      </c>
      <c r="AK88" t="str">
        <f>+DIM!$AK$20&amp;"+"&amp;DIM!$S$14</f>
        <v>151+250</v>
      </c>
      <c r="AL88" s="100">
        <f>+VLOOKUP($AK$88,$AK$62:$AS$87,2,FALSE)</f>
        <v>6.6</v>
      </c>
      <c r="AM88" s="100">
        <f>+VLOOKUP($AK$88,$AK$62:$AS$87,3,FALSE)</f>
        <v>6.9</v>
      </c>
      <c r="AN88" s="100">
        <f>+VLOOKUP($AK$88,$AK$62:$AS$87,4,FALSE)</f>
        <v>7</v>
      </c>
      <c r="AO88" s="100">
        <f>+VLOOKUP($AK$88,$AK$62:$AS$87,5,FALSE)</f>
        <v>7.5</v>
      </c>
      <c r="AP88" s="100">
        <f>+VLOOKUP($AK$88,$AK$62:$AS$87,6,FALSE)</f>
        <v>7.1</v>
      </c>
      <c r="AQ88" s="100">
        <f>+VLOOKUP($AK$88,$AK$62:$AS$87,7,FALSE)</f>
        <v>7.6</v>
      </c>
      <c r="AR88" s="100">
        <f>+VLOOKUP($AK$88,$AK$62:$AS$87,8,FALSE)</f>
        <v>7.2</v>
      </c>
      <c r="AS88" s="100">
        <f>+VLOOKUP($AK$88,$AK$62:$AS$87,9,FALSE)</f>
        <v>7.7</v>
      </c>
      <c r="AU88" t="str">
        <f>+DIM!$AK$20&amp;"+"&amp;DIM!$S$14</f>
        <v>151+250</v>
      </c>
      <c r="AV88" s="100">
        <f>+VLOOKUP($AU$88,$AU$62:$BC$87,2,FALSE)</f>
        <v>8</v>
      </c>
      <c r="AW88" s="100">
        <f>+VLOOKUP($AU$88,$AU$62:$BC$87,3,FALSE)</f>
        <v>8.6</v>
      </c>
      <c r="AX88" s="100">
        <f>+VLOOKUP($AU$88,$AU$62:$BC$87,4,FALSE)</f>
        <v>8.15</v>
      </c>
      <c r="AY88" s="100">
        <f>+VLOOKUP($AU$88,$AU$62:$BC$87,5,FALSE)</f>
        <v>8.8000000000000007</v>
      </c>
      <c r="AZ88" s="100">
        <f>+VLOOKUP($AU$88,$AU$62:$BC$87,6,FALSE)</f>
        <v>8.35</v>
      </c>
      <c r="BA88" s="100">
        <f>+VLOOKUP($AU$88,$AU$62:$BC$87,7,FALSE)</f>
        <v>9</v>
      </c>
      <c r="BB88" s="100">
        <f>+VLOOKUP($AU$88,$AU$62:$BC$87,8,FALSE)</f>
        <v>8.5500000000000007</v>
      </c>
      <c r="BC88" s="100">
        <f>+VLOOKUP($AU$88,$AU$62:$BC$87,9,FALSE)</f>
        <v>9</v>
      </c>
      <c r="BE88" t="str">
        <f>+DIM!$AK$20&amp;"+"&amp;DIM!$S$14</f>
        <v>151+250</v>
      </c>
      <c r="BF88" s="100">
        <f>+VLOOKUP($BE$88,$BE$62:$BM$85,2,FALSE)</f>
        <v>7.6</v>
      </c>
      <c r="BG88" s="100">
        <f>+VLOOKUP($BE$88,$BE$62:$BM$85,3,FALSE)</f>
        <v>8.1999999999999993</v>
      </c>
      <c r="BH88" s="100">
        <f>+VLOOKUP($BE$88,$BE$62:$BM$85,4,FALSE)</f>
        <v>7.7</v>
      </c>
      <c r="BI88" s="100">
        <f>+VLOOKUP($BE$88,$BE$62:$BM$85,5,FALSE)</f>
        <v>8.3000000000000007</v>
      </c>
      <c r="BJ88" s="100">
        <f>+VLOOKUP($BE$88,$BE$62:$BM$85,6,FALSE)</f>
        <v>7.8</v>
      </c>
      <c r="BK88" s="100">
        <f>+VLOOKUP($BE$88,$BE$62:$BM$85,7,FALSE)</f>
        <v>8.4</v>
      </c>
      <c r="BL88" s="100">
        <f>+VLOOKUP($BE$88,$BE$62:$BM$85,8,FALSE)</f>
        <v>8</v>
      </c>
      <c r="BM88" s="100">
        <f>+VLOOKUP($BE$88,$BE$62:$BM$85,9,FALSE)</f>
        <v>8.4</v>
      </c>
    </row>
    <row r="89" spans="2:65" hidden="1" x14ac:dyDescent="0.2">
      <c r="F89" t="s">
        <v>47</v>
      </c>
      <c r="G89">
        <f>+DIM!AD62</f>
        <v>0</v>
      </c>
      <c r="H89" s="237"/>
      <c r="I89" s="237"/>
      <c r="J89" s="237"/>
      <c r="K89" s="237"/>
      <c r="L89" s="237"/>
      <c r="M89" s="237"/>
      <c r="N89" s="237"/>
      <c r="O89" s="237"/>
      <c r="Q89" t="str">
        <f>+DIM!AD15</f>
        <v>1C</v>
      </c>
      <c r="R89" s="240">
        <f>+IF(DIM!$AD$15=$H$15,R88,S88)</f>
        <v>0</v>
      </c>
      <c r="S89" s="241"/>
      <c r="T89" s="240">
        <f>+IF(DIM!$AD$15=$H$15,T88,U88)</f>
        <v>0</v>
      </c>
      <c r="U89" s="241"/>
      <c r="V89" s="240">
        <f>+IF(DIM!$AD$15=$H$15,V88,W88)</f>
        <v>0</v>
      </c>
      <c r="W89" s="241"/>
      <c r="X89" s="240">
        <f>+IF(DIM!$AD$15=$H$15,X88,Y88)</f>
        <v>0</v>
      </c>
      <c r="Y89" s="241"/>
      <c r="AA89" t="str">
        <f>+DIM!AD15</f>
        <v>1C</v>
      </c>
      <c r="AB89" s="240">
        <f>+IF(DIM!$AD$15=$H$15,AB88,AC88)</f>
        <v>7.2</v>
      </c>
      <c r="AC89" s="241"/>
      <c r="AD89" s="240">
        <f>+IF(DIM!$AD$15=$H$15,AD88,AE88)</f>
        <v>7.7</v>
      </c>
      <c r="AE89" s="241"/>
      <c r="AF89" s="240">
        <f>+IF(DIM!$AD$15=$H$15,AF88,AG88)</f>
        <v>7.85</v>
      </c>
      <c r="AG89" s="241"/>
      <c r="AH89" s="240">
        <f>+IF(DIM!$AD$15=$H$15,AH88,AI88)</f>
        <v>8.0500000000000007</v>
      </c>
      <c r="AI89" s="241"/>
      <c r="AK89" t="str">
        <f>+DIM!AD15</f>
        <v>1C</v>
      </c>
      <c r="AL89" s="240">
        <f>+IF(DIM!$AD$15=$H$15,AL88,AM88)</f>
        <v>6.9</v>
      </c>
      <c r="AM89" s="241"/>
      <c r="AN89" s="240">
        <f>+IF(DIM!$AD$15=$H$15,AN88,AO88)</f>
        <v>7.5</v>
      </c>
      <c r="AO89" s="241"/>
      <c r="AP89" s="240">
        <f>+IF(DIM!$AD$15=$H$15,AP88,AQ88)</f>
        <v>7.6</v>
      </c>
      <c r="AQ89" s="241"/>
      <c r="AR89" s="240">
        <f>+IF(DIM!$AD$15=$H$15,AR88,AS88)</f>
        <v>7.7</v>
      </c>
      <c r="AS89" s="241"/>
      <c r="AU89" t="str">
        <f>+AK89</f>
        <v>1C</v>
      </c>
      <c r="AV89" s="240">
        <f>+IF(DIM!$AD$15=$H$15,AV88,AW88)</f>
        <v>8.6</v>
      </c>
      <c r="AW89" s="241"/>
      <c r="AX89" s="240">
        <f>+IF(DIM!$AD$15=$H$15,AX88,AY88)</f>
        <v>8.8000000000000007</v>
      </c>
      <c r="AY89" s="241"/>
      <c r="AZ89" s="240">
        <f>+IF(DIM!$AD$15=$H$15,AZ88,BA88)</f>
        <v>9</v>
      </c>
      <c r="BA89" s="241"/>
      <c r="BB89" s="240">
        <f>+IF(DIM!$AD$15=$H$15,BB88,BC88)</f>
        <v>9</v>
      </c>
      <c r="BC89" s="241"/>
      <c r="BE89" t="str">
        <f>+AU89</f>
        <v>1C</v>
      </c>
      <c r="BF89" s="240">
        <f>+IF(DIM!$AD$15=$H$15,BF88,BG88)</f>
        <v>8.1999999999999993</v>
      </c>
      <c r="BG89" s="241"/>
      <c r="BH89" s="240">
        <f>+IF(DIM!$AD$15=$H$15,BH88,BI88)</f>
        <v>8.3000000000000007</v>
      </c>
      <c r="BI89" s="241"/>
      <c r="BJ89" s="240">
        <f>+IF(DIM!$AD$15=$H$15,BJ88,BK88)</f>
        <v>8.4</v>
      </c>
      <c r="BK89" s="241"/>
      <c r="BL89" s="240">
        <f>+IF(DIM!$AD$15=$H$15,BL88,BM88)</f>
        <v>8.4</v>
      </c>
      <c r="BM89" s="241"/>
    </row>
    <row r="90" spans="2:65" hidden="1" x14ac:dyDescent="0.2">
      <c r="B90" t="str">
        <f>IF(E91&gt;20,"hauteur hourdis non disponible",IF(E91=12,"hauteur hourdis 15 mini pour jumelage",+"plancher"&amp;" "&amp;"PREDAL-SACOUSTIC"&amp;" "&amp;E91&amp;" "&amp;"+" &amp;" "&amp;G90&amp;" jum"))</f>
        <v>hauteur hourdis 15 mini pour jumelage</v>
      </c>
      <c r="F90" t="s">
        <v>48</v>
      </c>
      <c r="G90" s="100">
        <f>+DIM!S32</f>
        <v>5</v>
      </c>
      <c r="K90" s="102">
        <v>0</v>
      </c>
      <c r="Q90" s="100">
        <f>+DIM!S32</f>
        <v>5</v>
      </c>
      <c r="U90" s="102">
        <f>+HLOOKUP(Q90,R60:Y89,27,FALSE)</f>
        <v>179</v>
      </c>
      <c r="AA90" s="100">
        <f>+DIM!S32</f>
        <v>5</v>
      </c>
      <c r="AE90" s="102">
        <f>+HLOOKUP(AA90,AB60:AI89,30,FALSE)</f>
        <v>7.2</v>
      </c>
      <c r="AK90" s="100">
        <f>+DIM!S32</f>
        <v>5</v>
      </c>
      <c r="AO90" s="102">
        <f>+HLOOKUP(AK90,AL60:AS89,30,FALSE)</f>
        <v>6.9</v>
      </c>
      <c r="AU90" s="100">
        <f>+AK90</f>
        <v>5</v>
      </c>
      <c r="AY90" s="102">
        <f>+HLOOKUP(AU90,AV60:BC89,30,FALSE)</f>
        <v>8.6</v>
      </c>
      <c r="BE90" s="101">
        <f>+AU90</f>
        <v>5</v>
      </c>
      <c r="BI90" s="102">
        <f>+HLOOKUP(BE90,BF60:BM89,30,FALSE)</f>
        <v>8.1999999999999993</v>
      </c>
    </row>
    <row r="91" spans="2:65" hidden="1" x14ac:dyDescent="0.2">
      <c r="E91">
        <f>+DIM!Q32</f>
        <v>12</v>
      </c>
      <c r="F91" t="s">
        <v>65</v>
      </c>
      <c r="G91" t="str">
        <f>IF(E91&gt;20,"hauteur hourdis non disponible",IF(E91=12,"hauteur hourdis 15 mini pour jumelage",+"plancher"&amp;" "&amp;"EBS"&amp;" "&amp;E91&amp;" "&amp;"+" &amp;" "&amp;G90&amp;" jum"))</f>
        <v>hauteur hourdis 15 mini pour jumelage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2:65" hidden="1" x14ac:dyDescent="0.2">
      <c r="F92" t="s">
        <v>61</v>
      </c>
      <c r="G92">
        <f>+DIM!L22</f>
        <v>30</v>
      </c>
      <c r="K92" s="98">
        <f>+HLOOKUP(G90,H60:O86,24,FALSE)</f>
        <v>0</v>
      </c>
      <c r="U92" s="98">
        <f>+HLOOKUP(Q90,R60:Y86,24,FALSE)</f>
        <v>0</v>
      </c>
      <c r="AE92" s="98">
        <f>+HLOOKUP(AA90,AB60:AI86,27,FALSE)</f>
        <v>253</v>
      </c>
      <c r="AO92" s="98">
        <f>+HLOOKUP(AK90,AL60:AS86,27,FALSE)</f>
        <v>253</v>
      </c>
      <c r="AY92" s="98">
        <f>+HLOOKUP(AU90,AV60:BC86,27,FALSE)</f>
        <v>322</v>
      </c>
      <c r="BI92" s="98">
        <f>+HLOOKUP(BE90,BF60:BM86,27,FALSE)</f>
        <v>322</v>
      </c>
    </row>
    <row r="93" spans="2:65" hidden="1" x14ac:dyDescent="0.2">
      <c r="F93">
        <v>12</v>
      </c>
      <c r="G93" t="s">
        <v>110</v>
      </c>
      <c r="H93">
        <v>0</v>
      </c>
      <c r="I93">
        <v>0</v>
      </c>
      <c r="J93">
        <f>+IF($G$46=30,K94,U94)</f>
        <v>19.600000000000001</v>
      </c>
      <c r="K93" s="98">
        <f>+HLOOKUP(G90,H60:O87,25,FALSE)</f>
        <v>0</v>
      </c>
      <c r="U93" s="98">
        <f>+HLOOKUP(Q90,R60:Y87,25,FALSE)</f>
        <v>0</v>
      </c>
      <c r="AE93" s="98">
        <f>+HLOOKUP(AA90,AB60:AI87,28,FALSE)</f>
        <v>76</v>
      </c>
      <c r="AO93" s="98">
        <f>+HLOOKUP(AK90,AL60:AS87,28,FALSE)</f>
        <v>76</v>
      </c>
      <c r="AY93" s="98">
        <f>+HLOOKUP(AU90,AV60:BC87,28,FALSE)</f>
        <v>93</v>
      </c>
      <c r="BI93" s="98">
        <f>+HLOOKUP(BE90,BF60:BM87,28,FALSE)</f>
        <v>93</v>
      </c>
    </row>
    <row r="94" spans="2:65" hidden="1" x14ac:dyDescent="0.2">
      <c r="F94">
        <v>15</v>
      </c>
      <c r="G94">
        <f>+IF($G$46=30,AE90,AO90)</f>
        <v>7.2</v>
      </c>
      <c r="H94">
        <f>+IF($G$46=30,AE92,AO92)</f>
        <v>253</v>
      </c>
      <c r="I94">
        <f>+IF($G$46=30,AE93,AO93)</f>
        <v>76</v>
      </c>
      <c r="J94">
        <f>+IF($G$46=30,AE94,AO94)</f>
        <v>21.47</v>
      </c>
      <c r="K94" s="98">
        <f>+HLOOKUP(K91,H101:O103,3,FALSE)</f>
        <v>19.600000000000001</v>
      </c>
      <c r="U94" s="98">
        <f>+HLOOKUP(U91,R101:Y103,3,FALSE)</f>
        <v>19.600000000000001</v>
      </c>
      <c r="AE94" s="98">
        <f>+HLOOKUP(AE91,AB101:AI103,3,FALSE)</f>
        <v>21.47</v>
      </c>
      <c r="AO94" s="98">
        <f>+HLOOKUP(AO91,AL101:AS103,3,FALSE)</f>
        <v>21.47</v>
      </c>
      <c r="AY94" s="98">
        <f>+HLOOKUP(AY91,AV101:BC103,3,FALSE)</f>
        <v>25.72</v>
      </c>
      <c r="BI94" s="98">
        <f>+HLOOKUP(BI91,BF101:BM103,3,FALSE)</f>
        <v>25.72</v>
      </c>
    </row>
    <row r="95" spans="2:65" ht="19.5" hidden="1" x14ac:dyDescent="0.35">
      <c r="F95">
        <v>20</v>
      </c>
      <c r="G95">
        <f>+IF($G$46=30,AY90,BI90)</f>
        <v>8.6</v>
      </c>
      <c r="H95">
        <f>+IF($G$46=30,AY92,BI92)</f>
        <v>322</v>
      </c>
      <c r="I95">
        <f>+IF($G$46=30,AY93,BI93)</f>
        <v>93</v>
      </c>
      <c r="J95">
        <f>+IF($G$46=30,AY94,BI94)</f>
        <v>25.72</v>
      </c>
      <c r="K95" s="97">
        <v>12</v>
      </c>
      <c r="L95" s="97" t="s">
        <v>87</v>
      </c>
      <c r="U95" s="97">
        <v>12</v>
      </c>
      <c r="V95" s="97" t="s">
        <v>87</v>
      </c>
      <c r="AE95" s="97">
        <v>15</v>
      </c>
      <c r="AF95" s="97" t="s">
        <v>87</v>
      </c>
      <c r="AG95" s="97" t="s">
        <v>96</v>
      </c>
      <c r="AO95" s="97">
        <v>15</v>
      </c>
      <c r="AP95" s="97" t="s">
        <v>87</v>
      </c>
      <c r="AQ95" s="97" t="s">
        <v>97</v>
      </c>
      <c r="AY95" s="97">
        <v>20</v>
      </c>
      <c r="AZ95" s="97" t="s">
        <v>87</v>
      </c>
      <c r="BA95" s="97" t="s">
        <v>96</v>
      </c>
      <c r="BI95" s="97">
        <v>20</v>
      </c>
      <c r="BJ95" s="97" t="s">
        <v>87</v>
      </c>
      <c r="BK95" s="97" t="s">
        <v>97</v>
      </c>
    </row>
    <row r="96" spans="2:65" hidden="1" x14ac:dyDescent="0.2">
      <c r="E96" t="s">
        <v>70</v>
      </c>
      <c r="F96" t="s">
        <v>74</v>
      </c>
      <c r="G96" t="str">
        <f>IF($E$91&gt;20,"--",+VLOOKUP(DIM!Q32,F93:I95,2,FALSE))</f>
        <v>"non disponible en 12"</v>
      </c>
      <c r="K96" s="98" t="s">
        <v>78</v>
      </c>
      <c r="U96" s="98"/>
      <c r="AE96" s="98" t="s">
        <v>84</v>
      </c>
      <c r="AO96" s="98" t="s">
        <v>78</v>
      </c>
      <c r="AY96" s="98" t="s">
        <v>84</v>
      </c>
      <c r="BI96" s="98" t="s">
        <v>78</v>
      </c>
    </row>
    <row r="97" spans="6:65" hidden="1" x14ac:dyDescent="0.2">
      <c r="F97" t="s">
        <v>75</v>
      </c>
      <c r="G97">
        <f>IF($E$91&gt;20,0,+VLOOKUP(DIM!Q32,F93:I95,3,FALSE))</f>
        <v>0</v>
      </c>
    </row>
    <row r="98" spans="6:65" hidden="1" x14ac:dyDescent="0.2">
      <c r="F98" t="s">
        <v>72</v>
      </c>
      <c r="G98">
        <f>IF($E$91&gt;20,0,+VLOOKUP(DIM!Q32,F93:I95,4,FALSE))</f>
        <v>0</v>
      </c>
    </row>
    <row r="99" spans="6:65" hidden="1" x14ac:dyDescent="0.2">
      <c r="F99" t="s">
        <v>274</v>
      </c>
      <c r="G99">
        <f>IF($E$91&gt;20,0,+VLOOKUP(DIM!Q32,F93:J95,5,FALSE))</f>
        <v>19.600000000000001</v>
      </c>
    </row>
    <row r="100" spans="6:65" hidden="1" x14ac:dyDescent="0.2"/>
    <row r="101" spans="6:65" hidden="1" x14ac:dyDescent="0.2">
      <c r="G101" t="s">
        <v>129</v>
      </c>
      <c r="H101" s="238" t="s">
        <v>302</v>
      </c>
      <c r="I101" s="238"/>
      <c r="J101" s="238" t="s">
        <v>303</v>
      </c>
      <c r="K101" s="238"/>
      <c r="L101" s="238" t="s">
        <v>304</v>
      </c>
      <c r="M101" s="238"/>
      <c r="N101" s="238" t="s">
        <v>305</v>
      </c>
      <c r="O101" s="238"/>
      <c r="Q101" t="s">
        <v>129</v>
      </c>
      <c r="R101" s="238" t="s">
        <v>302</v>
      </c>
      <c r="S101" s="238"/>
      <c r="T101" s="238" t="s">
        <v>303</v>
      </c>
      <c r="U101" s="238"/>
      <c r="V101" s="238" t="s">
        <v>304</v>
      </c>
      <c r="W101" s="238"/>
      <c r="X101" s="238" t="s">
        <v>305</v>
      </c>
      <c r="Y101" s="238"/>
      <c r="AA101" t="s">
        <v>129</v>
      </c>
      <c r="AB101" s="238" t="s">
        <v>306</v>
      </c>
      <c r="AC101" s="238"/>
      <c r="AD101" s="238" t="s">
        <v>307</v>
      </c>
      <c r="AE101" s="238"/>
      <c r="AF101" s="238" t="s">
        <v>308</v>
      </c>
      <c r="AG101" s="238"/>
      <c r="AH101" s="238" t="s">
        <v>309</v>
      </c>
      <c r="AI101" s="238"/>
      <c r="AK101" t="s">
        <v>129</v>
      </c>
      <c r="AL101" s="238" t="s">
        <v>306</v>
      </c>
      <c r="AM101" s="238"/>
      <c r="AN101" s="238" t="s">
        <v>307</v>
      </c>
      <c r="AO101" s="238"/>
      <c r="AP101" s="238" t="s">
        <v>308</v>
      </c>
      <c r="AQ101" s="238"/>
      <c r="AR101" s="238" t="s">
        <v>309</v>
      </c>
      <c r="AS101" s="238"/>
      <c r="AU101" t="s">
        <v>129</v>
      </c>
      <c r="AV101" s="238" t="s">
        <v>310</v>
      </c>
      <c r="AW101" s="238"/>
      <c r="AX101" s="238" t="s">
        <v>311</v>
      </c>
      <c r="AY101" s="238"/>
      <c r="AZ101" s="238" t="s">
        <v>312</v>
      </c>
      <c r="BA101" s="238"/>
      <c r="BB101" s="238" t="s">
        <v>313</v>
      </c>
      <c r="BC101" s="238"/>
      <c r="BE101" t="s">
        <v>129</v>
      </c>
      <c r="BF101" s="238" t="s">
        <v>310</v>
      </c>
      <c r="BG101" s="238"/>
      <c r="BH101" s="238" t="s">
        <v>311</v>
      </c>
      <c r="BI101" s="238"/>
      <c r="BJ101" s="238" t="s">
        <v>312</v>
      </c>
      <c r="BK101" s="238"/>
      <c r="BL101" s="238" t="s">
        <v>313</v>
      </c>
      <c r="BM101" s="238"/>
    </row>
    <row r="102" spans="6:65" hidden="1" x14ac:dyDescent="0.2">
      <c r="F102" s="100">
        <f>+DIM!S10-0.01</f>
        <v>3.99</v>
      </c>
      <c r="H102" s="238">
        <f>+IF(H89&gt;$F$102,1,0)</f>
        <v>0</v>
      </c>
      <c r="I102" s="238"/>
      <c r="J102" s="238">
        <f t="shared" ref="J102" si="6">+IF(J89&gt;$F$102,1,0)</f>
        <v>0</v>
      </c>
      <c r="K102" s="238"/>
      <c r="L102" s="238">
        <f t="shared" ref="L102" si="7">+IF(L89&gt;$F$102,1,0)</f>
        <v>0</v>
      </c>
      <c r="M102" s="238"/>
      <c r="N102" s="238">
        <f t="shared" ref="N102" si="8">+IF(N89&gt;$F$102,1,0)</f>
        <v>0</v>
      </c>
      <c r="O102" s="238"/>
      <c r="R102" s="238">
        <f t="shared" ref="R102:X102" si="9">+IF(R89&gt;$F$102,1,0)</f>
        <v>0</v>
      </c>
      <c r="S102" s="238"/>
      <c r="T102" s="238">
        <f t="shared" si="9"/>
        <v>0</v>
      </c>
      <c r="U102" s="238"/>
      <c r="V102" s="238">
        <f t="shared" si="9"/>
        <v>0</v>
      </c>
      <c r="W102" s="238"/>
      <c r="X102" s="238">
        <f t="shared" si="9"/>
        <v>0</v>
      </c>
      <c r="Y102" s="238"/>
      <c r="AB102" s="238">
        <f t="shared" ref="AB102:AH102" si="10">+IF(AB89&gt;$F$102,1,0)</f>
        <v>1</v>
      </c>
      <c r="AC102" s="238"/>
      <c r="AD102" s="238">
        <f t="shared" si="10"/>
        <v>1</v>
      </c>
      <c r="AE102" s="238"/>
      <c r="AF102" s="238">
        <f t="shared" si="10"/>
        <v>1</v>
      </c>
      <c r="AG102" s="238"/>
      <c r="AH102" s="238">
        <f t="shared" si="10"/>
        <v>1</v>
      </c>
      <c r="AI102" s="238"/>
      <c r="AL102" s="238">
        <f t="shared" ref="AL102:AR102" si="11">+IF(AL89&gt;$F$102,1,0)</f>
        <v>1</v>
      </c>
      <c r="AM102" s="238"/>
      <c r="AN102" s="238">
        <f t="shared" si="11"/>
        <v>1</v>
      </c>
      <c r="AO102" s="238"/>
      <c r="AP102" s="238">
        <f t="shared" si="11"/>
        <v>1</v>
      </c>
      <c r="AQ102" s="238"/>
      <c r="AR102" s="238">
        <f t="shared" si="11"/>
        <v>1</v>
      </c>
      <c r="AS102" s="238"/>
      <c r="AV102" s="238">
        <f t="shared" ref="AV102:BB102" si="12">+IF(AV89&gt;$F$102,1,0)</f>
        <v>1</v>
      </c>
      <c r="AW102" s="238"/>
      <c r="AX102" s="238">
        <f t="shared" si="12"/>
        <v>1</v>
      </c>
      <c r="AY102" s="238"/>
      <c r="AZ102" s="238">
        <f t="shared" si="12"/>
        <v>1</v>
      </c>
      <c r="BA102" s="238"/>
      <c r="BB102" s="238">
        <f t="shared" si="12"/>
        <v>1</v>
      </c>
      <c r="BC102" s="238"/>
      <c r="BF102" s="238">
        <f t="shared" ref="BF102:BL102" si="13">+IF(BF89&gt;$F$102,1,0)</f>
        <v>1</v>
      </c>
      <c r="BG102" s="238"/>
      <c r="BH102" s="238">
        <f t="shared" si="13"/>
        <v>1</v>
      </c>
      <c r="BI102" s="238"/>
      <c r="BJ102" s="238">
        <f t="shared" si="13"/>
        <v>1</v>
      </c>
      <c r="BK102" s="238"/>
      <c r="BL102" s="238">
        <f t="shared" si="13"/>
        <v>1</v>
      </c>
      <c r="BM102" s="238"/>
    </row>
    <row r="103" spans="6:65" hidden="1" x14ac:dyDescent="0.2">
      <c r="F103" s="100"/>
      <c r="H103">
        <v>19.600000000000001</v>
      </c>
      <c r="J103">
        <f>1.97+H103</f>
        <v>21.57</v>
      </c>
      <c r="L103">
        <f>3.94+H103</f>
        <v>23.540000000000003</v>
      </c>
      <c r="N103">
        <f>5.91+H103</f>
        <v>25.51</v>
      </c>
      <c r="O103" s="49"/>
      <c r="R103">
        <v>19.600000000000001</v>
      </c>
      <c r="T103">
        <f>1.97+R103</f>
        <v>21.57</v>
      </c>
      <c r="V103">
        <f>3.94+R103</f>
        <v>23.540000000000003</v>
      </c>
      <c r="X103">
        <f>5.91+R103</f>
        <v>25.51</v>
      </c>
      <c r="Y103" s="49"/>
      <c r="AB103">
        <v>21.47</v>
      </c>
      <c r="AD103">
        <f>1.97+AB103</f>
        <v>23.439999999999998</v>
      </c>
      <c r="AF103">
        <f>3.94+AB103</f>
        <v>25.41</v>
      </c>
      <c r="AH103">
        <f>5.91+AB103</f>
        <v>27.38</v>
      </c>
      <c r="AI103" s="49"/>
      <c r="AL103">
        <v>21.47</v>
      </c>
      <c r="AN103">
        <f>1.97+AL103</f>
        <v>23.439999999999998</v>
      </c>
      <c r="AP103">
        <f>3.94+AL103</f>
        <v>25.41</v>
      </c>
      <c r="AR103">
        <f>5.91+AL103</f>
        <v>27.38</v>
      </c>
      <c r="AV103">
        <v>25.72</v>
      </c>
      <c r="AX103">
        <f>1.97+AV103</f>
        <v>27.689999999999998</v>
      </c>
      <c r="AZ103">
        <f>3.94+AV103</f>
        <v>29.66</v>
      </c>
      <c r="BB103">
        <f>5.91+AV103</f>
        <v>31.63</v>
      </c>
      <c r="BF103">
        <v>25.72</v>
      </c>
      <c r="BH103">
        <f>1.97+BF103</f>
        <v>27.689999999999998</v>
      </c>
      <c r="BJ103">
        <f>3.94+BF103</f>
        <v>29.66</v>
      </c>
      <c r="BL103">
        <f>5.91+BF103</f>
        <v>31.63</v>
      </c>
      <c r="BM103" s="49"/>
    </row>
    <row r="104" spans="6:65" hidden="1" x14ac:dyDescent="0.2">
      <c r="F104" s="100"/>
      <c r="H104" s="49"/>
      <c r="J104" t="s">
        <v>143</v>
      </c>
      <c r="L104" t="s">
        <v>129</v>
      </c>
      <c r="T104" t="s">
        <v>144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00"/>
      <c r="H105" s="49"/>
      <c r="K105">
        <f>+IF(H102=1,H101,IF(J102=1,J101,IF(L102=1,L101,IF(N102=1,N101,0))))</f>
        <v>0</v>
      </c>
      <c r="L105" t="str">
        <f>+AE105</f>
        <v>15+5 JUM</v>
      </c>
      <c r="M105" t="str">
        <f>+AY105</f>
        <v>20+5 JUM</v>
      </c>
      <c r="U105">
        <f>+IF(R102=1,R101,IF(T102=1,T101,IF(V102=1,V101,IF(X102=1,X101,0))))</f>
        <v>0</v>
      </c>
      <c r="V105" t="str">
        <f>+AO105</f>
        <v>15+5 JUM</v>
      </c>
      <c r="W105" t="str">
        <f>+BI105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6:65" hidden="1" x14ac:dyDescent="0.2">
      <c r="F106" s="100"/>
      <c r="H106" s="49"/>
      <c r="J106" s="98" t="str">
        <f>+IF(K105&gt;0,K105,IF(L105&gt;0,L105,IF(M105&gt;0,M105,"hors limite")))</f>
        <v>15+5 JUM</v>
      </c>
      <c r="T106" s="98" t="str">
        <f>+IF(U105&gt;0,U105,IF(V105&gt;0,V105,IF(W105&gt;0,W105,"hors limite")))</f>
        <v>15+5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98" t="s">
        <v>314</v>
      </c>
      <c r="H107" s="49"/>
      <c r="I107" t="s">
        <v>75</v>
      </c>
      <c r="J107" s="98">
        <f>+IF(K105&gt;0,K107,IF(L105&gt;0,L107,IF(M105&gt;0,M107,0)))</f>
        <v>253</v>
      </c>
      <c r="K107" t="e">
        <f>+HLOOKUP(J106,H59:O88,25,FALSE)</f>
        <v>#N/A</v>
      </c>
      <c r="L107">
        <f>+HLOOKUP(L105,AB59:AI88,28,FALSE)</f>
        <v>253</v>
      </c>
      <c r="M107">
        <f>+HLOOKUP(M105,AV59:BC88,28,FALSE)</f>
        <v>322</v>
      </c>
      <c r="T107" s="98">
        <f>+IF(U105&gt;0,U107,IF(V105&gt;0,V107,IF(W105&gt;0,W107,0)))</f>
        <v>253</v>
      </c>
      <c r="U107" t="e">
        <f>+HLOOKUP(U105,R59:Y88,25,FALSE)</f>
        <v>#N/A</v>
      </c>
      <c r="V107">
        <f>+HLOOKUP(V105,AL59:AS88,28,FALSE)</f>
        <v>253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00"/>
      <c r="H108" s="49"/>
      <c r="I108" t="s">
        <v>72</v>
      </c>
      <c r="J108" s="98">
        <f>+IF(K105&gt;0,K108,IF(L105&gt;0,L108,IF(M105&gt;0,M108,0)))</f>
        <v>76</v>
      </c>
      <c r="K108" t="e">
        <f>+HLOOKUP(J106,H59:O88,26,FALSE)</f>
        <v>#N/A</v>
      </c>
      <c r="L108">
        <f>+HLOOKUP(L105,AB59:AI88,29,FALSE)</f>
        <v>76</v>
      </c>
      <c r="M108">
        <f>+HLOOKUP(M105,AV59:BC88,29,FALSE)</f>
        <v>93</v>
      </c>
      <c r="T108" s="98">
        <f>+IF(U105&gt;0,U108,IF(V105&gt;0,V108,IF(W105&gt;0,W108,0)))</f>
        <v>76</v>
      </c>
      <c r="U108" t="e">
        <f>+HLOOKUP(U105,R59:Y88,26,FALSE)</f>
        <v>#N/A</v>
      </c>
      <c r="V108">
        <f>+HLOOKUP(V105,AL59:AS88,29,FALSE)</f>
        <v>76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00"/>
      <c r="H109" s="49"/>
      <c r="I109" s="49" t="s">
        <v>274</v>
      </c>
      <c r="J109" s="98">
        <f>+IF(K105&gt;0,K109,IF(L105&gt;0,L109,IF(M105&gt;0,M109,0)))</f>
        <v>21.47</v>
      </c>
      <c r="K109" t="e">
        <f>+HLOOKUP(K105,H101:O103,3,FALSE)</f>
        <v>#N/A</v>
      </c>
      <c r="L109">
        <f>+HLOOKUP(L105,AB101:AI103,3,FALSE)</f>
        <v>21.47</v>
      </c>
      <c r="M109">
        <f>+HLOOKUP(M105,AV101:BC103,3,FALSE)</f>
        <v>25.72</v>
      </c>
      <c r="N109" s="49"/>
      <c r="O109" s="49"/>
      <c r="R109" s="49"/>
      <c r="S109" s="49"/>
      <c r="T109" s="98">
        <f>+IF(U105&gt;0,U109,IF(V105&gt;0,V109,IF(W105&gt;0,W109,0)))</f>
        <v>21.47</v>
      </c>
      <c r="U109" t="e">
        <f>+HLOOKUP(U105,R101:Y103,3,FALSE)</f>
        <v>#N/A</v>
      </c>
      <c r="V109">
        <f>+HLOOKUP(V105,AL101:AS103,3,FALSE)</f>
        <v>21.47</v>
      </c>
      <c r="W109">
        <f>+HLOOKUP(W105,BF101:BM103,3,FALSE)</f>
        <v>25.72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98"/>
      <c r="T111" s="98"/>
    </row>
    <row r="112" spans="6:65" hidden="1" x14ac:dyDescent="0.2">
      <c r="J112" s="98"/>
      <c r="T112" s="98"/>
    </row>
    <row r="113" spans="6:65" hidden="1" x14ac:dyDescent="0.2">
      <c r="G113" t="s">
        <v>88</v>
      </c>
      <c r="H113" s="238" t="s">
        <v>111</v>
      </c>
      <c r="I113" s="238"/>
      <c r="J113" s="238" t="s">
        <v>112</v>
      </c>
      <c r="K113" s="238"/>
      <c r="L113" s="238" t="s">
        <v>113</v>
      </c>
      <c r="M113" s="238"/>
      <c r="N113" s="238" t="s">
        <v>114</v>
      </c>
      <c r="O113" s="238"/>
      <c r="Q113" t="s">
        <v>88</v>
      </c>
      <c r="R113" s="238" t="s">
        <v>111</v>
      </c>
      <c r="S113" s="238"/>
      <c r="T113" s="238" t="s">
        <v>112</v>
      </c>
      <c r="U113" s="238"/>
      <c r="V113" s="238" t="s">
        <v>113</v>
      </c>
      <c r="W113" s="238"/>
      <c r="X113" s="238" t="s">
        <v>114</v>
      </c>
      <c r="Y113" s="238"/>
      <c r="AA113" t="s">
        <v>88</v>
      </c>
      <c r="AB113" s="238" t="s">
        <v>115</v>
      </c>
      <c r="AC113" s="238"/>
      <c r="AD113" s="238" t="s">
        <v>116</v>
      </c>
      <c r="AE113" s="238"/>
      <c r="AF113" s="238" t="s">
        <v>117</v>
      </c>
      <c r="AG113" s="238"/>
      <c r="AH113" s="238" t="s">
        <v>118</v>
      </c>
      <c r="AI113" s="238"/>
      <c r="AK113" t="s">
        <v>88</v>
      </c>
      <c r="AL113" s="238" t="s">
        <v>115</v>
      </c>
      <c r="AM113" s="238"/>
      <c r="AN113" s="238" t="s">
        <v>116</v>
      </c>
      <c r="AO113" s="238"/>
      <c r="AP113" s="238" t="s">
        <v>117</v>
      </c>
      <c r="AQ113" s="238"/>
      <c r="AR113" s="238" t="s">
        <v>118</v>
      </c>
      <c r="AS113" s="238"/>
      <c r="AU113" t="s">
        <v>88</v>
      </c>
      <c r="AV113" s="238" t="s">
        <v>119</v>
      </c>
      <c r="AW113" s="238"/>
      <c r="AX113" s="238" t="s">
        <v>120</v>
      </c>
      <c r="AY113" s="238"/>
      <c r="AZ113" s="238" t="s">
        <v>121</v>
      </c>
      <c r="BA113" s="238"/>
      <c r="BB113" s="238" t="s">
        <v>122</v>
      </c>
      <c r="BC113" s="238"/>
      <c r="BE113" t="s">
        <v>88</v>
      </c>
      <c r="BF113" s="238" t="s">
        <v>119</v>
      </c>
      <c r="BG113" s="238"/>
      <c r="BH113" s="238" t="s">
        <v>120</v>
      </c>
      <c r="BI113" s="238"/>
      <c r="BJ113" s="238" t="s">
        <v>121</v>
      </c>
      <c r="BK113" s="238"/>
      <c r="BL113" s="238" t="s">
        <v>122</v>
      </c>
      <c r="BM113" s="238"/>
    </row>
    <row r="114" spans="6:65" hidden="1" x14ac:dyDescent="0.2">
      <c r="F114" s="100"/>
      <c r="H114" s="238">
        <f>+IF(H43&gt;$F$102,1,0)</f>
        <v>1</v>
      </c>
      <c r="I114" s="238"/>
      <c r="J114" s="238">
        <f t="shared" ref="J114" si="14">+IF(J43&gt;$F$102,1,0)</f>
        <v>1</v>
      </c>
      <c r="K114" s="238"/>
      <c r="L114" s="238">
        <f t="shared" ref="L114" si="15">+IF(L43&gt;$F$102,1,0)</f>
        <v>1</v>
      </c>
      <c r="M114" s="238"/>
      <c r="N114" s="238">
        <f t="shared" ref="N114" si="16">+IF(N43&gt;$F$102,1,0)</f>
        <v>1</v>
      </c>
      <c r="O114" s="238"/>
      <c r="R114" s="238">
        <f>+IF(R43&gt;$F$102,1,0)</f>
        <v>0</v>
      </c>
      <c r="S114" s="238"/>
      <c r="T114" s="238">
        <f t="shared" ref="T114" si="17">+IF(T43&gt;$F$102,1,0)</f>
        <v>0</v>
      </c>
      <c r="U114" s="238"/>
      <c r="V114" s="238">
        <f t="shared" ref="V114" si="18">+IF(V43&gt;$F$102,1,0)</f>
        <v>0</v>
      </c>
      <c r="W114" s="238"/>
      <c r="X114" s="238">
        <f t="shared" ref="X114" si="19">+IF(X43&gt;$F$102,1,0)</f>
        <v>0</v>
      </c>
      <c r="Y114" s="238"/>
      <c r="AB114" s="238">
        <f>+IF(AB43&gt;$F$102,1,0)</f>
        <v>1</v>
      </c>
      <c r="AC114" s="238"/>
      <c r="AD114" s="238">
        <f t="shared" ref="AD114" si="20">+IF(AD43&gt;$F$102,1,0)</f>
        <v>1</v>
      </c>
      <c r="AE114" s="238"/>
      <c r="AF114" s="238">
        <f t="shared" ref="AF114" si="21">+IF(AF43&gt;$F$102,1,0)</f>
        <v>1</v>
      </c>
      <c r="AG114" s="238"/>
      <c r="AH114" s="238">
        <f t="shared" ref="AH114" si="22">+IF(AH43&gt;$F$102,1,0)</f>
        <v>1</v>
      </c>
      <c r="AI114" s="238"/>
      <c r="AL114" s="238">
        <f>+IF(AL43&gt;$F$102,1,0)</f>
        <v>1</v>
      </c>
      <c r="AM114" s="238"/>
      <c r="AN114" s="238">
        <f t="shared" ref="AN114" si="23">+IF(AN43&gt;$F$102,1,0)</f>
        <v>1</v>
      </c>
      <c r="AO114" s="238"/>
      <c r="AP114" s="238">
        <f t="shared" ref="AP114" si="24">+IF(AP43&gt;$F$102,1,0)</f>
        <v>1</v>
      </c>
      <c r="AQ114" s="238"/>
      <c r="AR114" s="238">
        <f t="shared" ref="AR114" si="25">+IF(AR43&gt;$F$102,1,0)</f>
        <v>1</v>
      </c>
      <c r="AS114" s="238"/>
      <c r="AV114" s="238">
        <f>+IF(AV43&gt;$F$102,1,0)</f>
        <v>1</v>
      </c>
      <c r="AW114" s="238"/>
      <c r="AX114" s="238">
        <f t="shared" ref="AX114" si="26">+IF(AX43&gt;$F$102,1,0)</f>
        <v>1</v>
      </c>
      <c r="AY114" s="238"/>
      <c r="AZ114" s="238">
        <f t="shared" ref="AZ114" si="27">+IF(AZ43&gt;$F$102,1,0)</f>
        <v>1</v>
      </c>
      <c r="BA114" s="238"/>
      <c r="BB114" s="238">
        <f t="shared" ref="BB114" si="28">+IF(BB43&gt;$F$102,1,0)</f>
        <v>1</v>
      </c>
      <c r="BC114" s="238"/>
      <c r="BF114" s="238">
        <f>+IF(BF43&gt;$F$102,1,0)</f>
        <v>1</v>
      </c>
      <c r="BG114" s="238"/>
      <c r="BH114" s="238">
        <f t="shared" ref="BH114" si="29">+IF(BH43&gt;$F$102,1,0)</f>
        <v>1</v>
      </c>
      <c r="BI114" s="238"/>
      <c r="BJ114" s="238">
        <f t="shared" ref="BJ114" si="30">+IF(BJ43&gt;$F$102,1,0)</f>
        <v>1</v>
      </c>
      <c r="BK114" s="238"/>
      <c r="BL114" s="238">
        <f t="shared" ref="BL114" si="31">+IF(BL43&gt;$F$102,1,0)</f>
        <v>1</v>
      </c>
      <c r="BM114" s="238"/>
    </row>
    <row r="115" spans="6:65" hidden="1" x14ac:dyDescent="0.2">
      <c r="H115">
        <v>14.85</v>
      </c>
      <c r="J115">
        <f>1.97+H115</f>
        <v>16.82</v>
      </c>
      <c r="L115">
        <f>3.94+H115</f>
        <v>18.79</v>
      </c>
      <c r="N115">
        <f>5.91+H115</f>
        <v>20.759999999999998</v>
      </c>
      <c r="R115">
        <v>14.85</v>
      </c>
      <c r="T115">
        <f>1.97+R115</f>
        <v>16.82</v>
      </c>
      <c r="V115">
        <f>3.94+R115</f>
        <v>18.79</v>
      </c>
      <c r="X115">
        <f>5.91+R115</f>
        <v>20.759999999999998</v>
      </c>
      <c r="AB115">
        <v>16.72</v>
      </c>
      <c r="AD115">
        <f>1.97+AB115</f>
        <v>18.689999999999998</v>
      </c>
      <c r="AF115">
        <f>3.94+AB115</f>
        <v>20.66</v>
      </c>
      <c r="AH115">
        <f>5.91+AB115</f>
        <v>22.63</v>
      </c>
      <c r="AL115">
        <v>16.72</v>
      </c>
      <c r="AN115">
        <f>1.97+AL115</f>
        <v>18.689999999999998</v>
      </c>
      <c r="AP115">
        <f>3.94+AL115</f>
        <v>20.66</v>
      </c>
      <c r="AR115">
        <f>5.91+AL115</f>
        <v>22.63</v>
      </c>
      <c r="AV115">
        <v>20.98</v>
      </c>
      <c r="AX115">
        <f>1.97+AV115</f>
        <v>22.95</v>
      </c>
      <c r="AZ115">
        <f>3.94+AV115</f>
        <v>24.92</v>
      </c>
      <c r="BB115">
        <f>5.91+AV115</f>
        <v>26.89</v>
      </c>
      <c r="BF115">
        <v>20.98</v>
      </c>
      <c r="BH115">
        <f>1.97+BF115</f>
        <v>22.95</v>
      </c>
      <c r="BJ115">
        <f>3.94+BF115</f>
        <v>24.92</v>
      </c>
      <c r="BL115">
        <f>5.91+BF115</f>
        <v>26.89</v>
      </c>
    </row>
    <row r="116" spans="6:65" hidden="1" x14ac:dyDescent="0.2">
      <c r="J116" t="s">
        <v>143</v>
      </c>
      <c r="L116" t="s">
        <v>88</v>
      </c>
      <c r="T116" t="s">
        <v>144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12+5</v>
      </c>
      <c r="T118" s="98" t="str">
        <f>+IF(U117&gt;0,U117,IF(V117&gt;0,V117,IF(W117&gt;0,W117,"à jumeler")))</f>
        <v>15+5</v>
      </c>
    </row>
    <row r="119" spans="6:65" hidden="1" x14ac:dyDescent="0.2">
      <c r="I119" t="s">
        <v>75</v>
      </c>
      <c r="J119" s="98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211</v>
      </c>
      <c r="M119">
        <f>+HLOOKUP(M117,AV13:BC41,28,FALSE)</f>
        <v>272</v>
      </c>
      <c r="T119" s="98">
        <f>+IF(U117&gt;0,U119,IF(V117&gt;0,V119,IF(W117&gt;0,W119,0)))</f>
        <v>211</v>
      </c>
      <c r="U119" t="e">
        <f>+HLOOKUP(U117,R13:Y41,25,FALSE)</f>
        <v>#N/A</v>
      </c>
      <c r="V119">
        <f>+HLOOKUP(V117,AL13:AS41,28,FALSE)</f>
        <v>211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70</v>
      </c>
      <c r="M120">
        <f>+HLOOKUP(M117,AV13:BC92,29,FALSE)</f>
        <v>86</v>
      </c>
      <c r="T120" s="98">
        <f>+IF(U117&gt;0,U120,IF(V117&gt;0,V120,IF(W117&gt;0,W120,0)))</f>
        <v>70</v>
      </c>
      <c r="U120" t="e">
        <f>+HLOOKUP(U117,R13:Y41,26,FALSE)</f>
        <v>#N/A</v>
      </c>
      <c r="V120">
        <f>+HLOOKUP(V117,AL13:AS41,29,FALSE)</f>
        <v>70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14.85</v>
      </c>
      <c r="K121">
        <f>+HLOOKUP(K117,H113:O115,3,FALSE)</f>
        <v>14.85</v>
      </c>
      <c r="L121">
        <f>+HLOOKUP(L117,AB113:AI115,3,FALSE)</f>
        <v>16.72</v>
      </c>
      <c r="M121">
        <f>+HLOOKUP(M117,AV113:BC115,3,FALSE)</f>
        <v>20.98</v>
      </c>
      <c r="T121" s="98">
        <f>+IF(U117&gt;0,U121,IF(V117&gt;0,V121,IF(W117&gt;0,W121,0)))</f>
        <v>16.72</v>
      </c>
      <c r="U121" t="e">
        <f>+HLOOKUP(U117,R113:Y115,3,FALSE)</f>
        <v>#N/A</v>
      </c>
      <c r="V121">
        <f>+HLOOKUP(V117,AL113:AS115,3,FALSE)</f>
        <v>16.72</v>
      </c>
      <c r="W121">
        <f>+HLOOKUP(W117,BF113:BM115,3,FALSE)</f>
        <v>20.98</v>
      </c>
    </row>
    <row r="122" spans="6:65" hidden="1" x14ac:dyDescent="0.2"/>
    <row r="123" spans="6:65" hidden="1" x14ac:dyDescent="0.2">
      <c r="J123" t="s">
        <v>143</v>
      </c>
      <c r="L123" t="s">
        <v>88</v>
      </c>
      <c r="T123" t="s">
        <v>144</v>
      </c>
      <c r="V123" t="s">
        <v>88</v>
      </c>
    </row>
    <row r="124" spans="6:65" hidden="1" x14ac:dyDescent="0.2">
      <c r="G124" t="s">
        <v>165</v>
      </c>
      <c r="K124">
        <v>0</v>
      </c>
      <c r="L124" t="str">
        <f>+AE117</f>
        <v>15+5</v>
      </c>
      <c r="M124" t="str">
        <f>+AY117</f>
        <v>20+5</v>
      </c>
    </row>
    <row r="125" spans="6:65" hidden="1" x14ac:dyDescent="0.2">
      <c r="J125" s="98" t="str">
        <f>+IF(K124&gt;0,K124,IF(L124&gt;0,L124,IF(M124&gt;0,M124,"à jumeler")))</f>
        <v>15+5</v>
      </c>
    </row>
    <row r="126" spans="6:65" hidden="1" x14ac:dyDescent="0.2">
      <c r="J126" s="98">
        <f>+IF(K124&gt;0,K126,IF(L124&gt;0,L126,IF(M124&gt;0,M126,0)))</f>
        <v>211</v>
      </c>
      <c r="L126">
        <f>+HLOOKUP(L117,AB13:AI41,28,FALSE)</f>
        <v>211</v>
      </c>
      <c r="M126">
        <f>+HLOOKUP(M117,AV13:BC41,28,FALSE)</f>
        <v>272</v>
      </c>
    </row>
    <row r="127" spans="6:65" hidden="1" x14ac:dyDescent="0.2">
      <c r="J127" s="98">
        <f>+IF(K124&gt;0,K127,IF(L124&gt;0,L127,IF(M124&gt;0,M127,0)))</f>
        <v>70</v>
      </c>
      <c r="L127">
        <f>+HLOOKUP(L117,AB13:AI41,29,FALSE)</f>
        <v>70</v>
      </c>
      <c r="M127">
        <f>+HLOOKUP(M117,AV13:BC92,29,FALSE)</f>
        <v>86</v>
      </c>
    </row>
    <row r="128" spans="6:65" hidden="1" x14ac:dyDescent="0.2"/>
    <row r="129" hidden="1" x14ac:dyDescent="0.2"/>
  </sheetData>
  <sheetProtection algorithmName="SHA-512" hashValue="M0CxIy5K3KPn1Zl9JjpLzslojJbrf0g7PivoTnqEdY26GBsGzXLHop51YRAIM/vz0k6U+vf0YUL5P1DPciF17g==" saltValue="ZRI9Pz1NrLXMnBlzayE4dA==" spinCount="100000" sheet="1" objects="1" scenarios="1"/>
  <mergeCells count="340">
    <mergeCell ref="BH114:BI114"/>
    <mergeCell ref="BJ114:BK114"/>
    <mergeCell ref="BL114:BM114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3:BI13"/>
    <mergeCell ref="BJ13:BK13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59:BI59"/>
    <mergeCell ref="BJ59:BK59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AL59:AM59"/>
    <mergeCell ref="AN59:AO59"/>
    <mergeCell ref="AP59:AQ59"/>
    <mergeCell ref="AR59:AS59"/>
    <mergeCell ref="AV59:AW59"/>
    <mergeCell ref="AX59:AY59"/>
    <mergeCell ref="AZ59:BA59"/>
    <mergeCell ref="BB59:BC59"/>
    <mergeCell ref="BF59:BG59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BP14:BQ14"/>
    <mergeCell ref="BR14:BS14"/>
    <mergeCell ref="BT14:BU14"/>
    <mergeCell ref="BV14:BW14"/>
    <mergeCell ref="AZ89:BA89"/>
    <mergeCell ref="BB89:BC89"/>
    <mergeCell ref="BF89:BG89"/>
    <mergeCell ref="BH89:BI89"/>
    <mergeCell ref="BJ89:BK89"/>
    <mergeCell ref="BL89:BM89"/>
    <mergeCell ref="BH87:BI87"/>
    <mergeCell ref="BJ87:BK87"/>
    <mergeCell ref="BL87:BM87"/>
    <mergeCell ref="BH60:BI60"/>
    <mergeCell ref="BJ60:BK60"/>
    <mergeCell ref="BL60:BM60"/>
    <mergeCell ref="BH41:BI41"/>
    <mergeCell ref="BJ41:BK41"/>
    <mergeCell ref="BL41:BM41"/>
    <mergeCell ref="BH14:BI14"/>
    <mergeCell ref="BJ14:BK14"/>
    <mergeCell ref="BL14:BM14"/>
    <mergeCell ref="AZ14:BA14"/>
    <mergeCell ref="BB14:BC14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60:O60"/>
    <mergeCell ref="R60:S60"/>
    <mergeCell ref="T60:U60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AD59:AE59"/>
    <mergeCell ref="AF59:AG59"/>
    <mergeCell ref="AH59:AI59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L14:M14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H40:I40"/>
    <mergeCell ref="J40:K40"/>
    <mergeCell ref="L40:M40"/>
    <mergeCell ref="N40:O40"/>
    <mergeCell ref="R40:S40"/>
    <mergeCell ref="T40:U40"/>
    <mergeCell ref="BF14:BG14"/>
    <mergeCell ref="AL14:AM14"/>
    <mergeCell ref="AN14:AO14"/>
    <mergeCell ref="AP14:AQ14"/>
    <mergeCell ref="AR14:AS14"/>
    <mergeCell ref="AV14:AW14"/>
    <mergeCell ref="AX14:AY14"/>
    <mergeCell ref="N14:O14"/>
    <mergeCell ref="R14:S14"/>
    <mergeCell ref="T14:U14"/>
    <mergeCell ref="V14:W14"/>
    <mergeCell ref="X14:Y14"/>
    <mergeCell ref="AB14:AC14"/>
    <mergeCell ref="AD14:AE14"/>
    <mergeCell ref="AF14:AG14"/>
    <mergeCell ref="AH14:AI14"/>
    <mergeCell ref="H14:I14"/>
    <mergeCell ref="J14:K14"/>
  </mergeCells>
  <phoneticPr fontId="26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BFB56-CCE6-4365-B85F-9B3A79AFF15E}">
  <dimension ref="E6:BM125"/>
  <sheetViews>
    <sheetView topLeftCell="A126" workbookViewId="0">
      <selection activeCell="A125" sqref="A6:XFD125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  <c r="AY10" s="97">
        <v>20</v>
      </c>
      <c r="BI10" s="97">
        <v>20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H12">
        <v>137</v>
      </c>
      <c r="K12" s="98"/>
      <c r="R12">
        <v>937</v>
      </c>
      <c r="U12" s="98"/>
      <c r="AB12">
        <v>158</v>
      </c>
      <c r="AD12">
        <v>179</v>
      </c>
      <c r="AF12">
        <v>179</v>
      </c>
      <c r="AH12">
        <v>179</v>
      </c>
      <c r="AL12" t="s">
        <v>69</v>
      </c>
      <c r="AN12">
        <v>179</v>
      </c>
      <c r="AP12">
        <v>189</v>
      </c>
      <c r="AR12">
        <v>189</v>
      </c>
      <c r="AV12">
        <v>179</v>
      </c>
      <c r="AX12">
        <v>179</v>
      </c>
      <c r="AZ12">
        <v>179</v>
      </c>
      <c r="BB12">
        <v>179</v>
      </c>
      <c r="BF12">
        <v>179</v>
      </c>
      <c r="BH12">
        <v>179</v>
      </c>
      <c r="BJ12">
        <v>179</v>
      </c>
      <c r="BL12">
        <v>179</v>
      </c>
    </row>
    <row r="13" spans="7:65" hidden="1" x14ac:dyDescent="0.2">
      <c r="H13" s="237" t="s">
        <v>111</v>
      </c>
      <c r="I13" s="237"/>
      <c r="J13" s="237" t="s">
        <v>112</v>
      </c>
      <c r="K13" s="237"/>
      <c r="L13" s="237" t="s">
        <v>113</v>
      </c>
      <c r="M13" s="237"/>
      <c r="N13" s="237" t="s">
        <v>114</v>
      </c>
      <c r="O13" s="237"/>
      <c r="R13" s="237" t="s">
        <v>111</v>
      </c>
      <c r="S13" s="237"/>
      <c r="T13" s="237" t="s">
        <v>112</v>
      </c>
      <c r="U13" s="237"/>
      <c r="V13" s="237" t="s">
        <v>113</v>
      </c>
      <c r="W13" s="237"/>
      <c r="X13" s="237" t="s">
        <v>114</v>
      </c>
      <c r="Y13" s="237"/>
      <c r="AB13" s="237" t="s">
        <v>115</v>
      </c>
      <c r="AC13" s="237"/>
      <c r="AD13" s="237" t="s">
        <v>116</v>
      </c>
      <c r="AE13" s="237"/>
      <c r="AF13" s="237" t="s">
        <v>117</v>
      </c>
      <c r="AG13" s="237"/>
      <c r="AH13" s="237" t="s">
        <v>118</v>
      </c>
      <c r="AI13" s="237"/>
      <c r="AL13" s="237" t="s">
        <v>115</v>
      </c>
      <c r="AM13" s="237"/>
      <c r="AN13" s="237" t="s">
        <v>116</v>
      </c>
      <c r="AO13" s="237"/>
      <c r="AP13" s="237" t="s">
        <v>117</v>
      </c>
      <c r="AQ13" s="237"/>
      <c r="AR13" s="237" t="s">
        <v>118</v>
      </c>
      <c r="AS13" s="237"/>
      <c r="AV13" s="237" t="s">
        <v>119</v>
      </c>
      <c r="AW13" s="237"/>
      <c r="AX13" s="237" t="s">
        <v>120</v>
      </c>
      <c r="AY13" s="237"/>
      <c r="AZ13" s="237" t="s">
        <v>121</v>
      </c>
      <c r="BA13" s="237"/>
      <c r="BB13" s="237" t="s">
        <v>122</v>
      </c>
      <c r="BC13" s="237"/>
      <c r="BF13" s="237" t="s">
        <v>119</v>
      </c>
      <c r="BG13" s="237"/>
      <c r="BH13" s="237" t="s">
        <v>120</v>
      </c>
      <c r="BI13" s="237"/>
      <c r="BJ13" s="237" t="s">
        <v>121</v>
      </c>
      <c r="BK13" s="237"/>
      <c r="BL13" s="237" t="s">
        <v>122</v>
      </c>
      <c r="BM13" s="237"/>
    </row>
    <row r="14" spans="7:65" hidden="1" x14ac:dyDescent="0.2">
      <c r="H14" s="237">
        <v>5</v>
      </c>
      <c r="I14" s="237"/>
      <c r="J14" s="237">
        <v>6</v>
      </c>
      <c r="K14" s="237"/>
      <c r="L14" s="237">
        <v>7</v>
      </c>
      <c r="M14" s="237"/>
      <c r="N14" s="237">
        <v>8</v>
      </c>
      <c r="O14" s="237"/>
      <c r="R14" s="237">
        <v>5</v>
      </c>
      <c r="S14" s="237"/>
      <c r="T14" s="237">
        <v>6</v>
      </c>
      <c r="U14" s="237"/>
      <c r="V14" s="237">
        <v>7</v>
      </c>
      <c r="W14" s="237"/>
      <c r="X14" s="237">
        <v>8</v>
      </c>
      <c r="Y14" s="237"/>
      <c r="AB14" s="237">
        <v>5</v>
      </c>
      <c r="AC14" s="237"/>
      <c r="AD14" s="237">
        <v>6</v>
      </c>
      <c r="AE14" s="237"/>
      <c r="AF14" s="237">
        <v>7</v>
      </c>
      <c r="AG14" s="237"/>
      <c r="AH14" s="237">
        <v>8</v>
      </c>
      <c r="AI14" s="237"/>
      <c r="AL14" s="237">
        <v>5</v>
      </c>
      <c r="AM14" s="237"/>
      <c r="AN14" s="237">
        <v>6</v>
      </c>
      <c r="AO14" s="237"/>
      <c r="AP14" s="237">
        <v>7</v>
      </c>
      <c r="AQ14" s="237"/>
      <c r="AR14" s="237">
        <v>8</v>
      </c>
      <c r="AS14" s="237"/>
      <c r="AV14" s="237">
        <v>5</v>
      </c>
      <c r="AW14" s="237"/>
      <c r="AX14" s="237">
        <v>6</v>
      </c>
      <c r="AY14" s="237"/>
      <c r="AZ14" s="237">
        <v>7</v>
      </c>
      <c r="BA14" s="237"/>
      <c r="BB14" s="237">
        <v>8</v>
      </c>
      <c r="BC14" s="237"/>
      <c r="BF14" s="237">
        <v>5</v>
      </c>
      <c r="BG14" s="237"/>
      <c r="BH14" s="237">
        <v>6</v>
      </c>
      <c r="BI14" s="237"/>
      <c r="BJ14" s="237">
        <v>7</v>
      </c>
      <c r="BK14" s="237"/>
      <c r="BL14" s="237">
        <v>8</v>
      </c>
      <c r="BM14" s="237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161</v>
      </c>
      <c r="AA16" t="s">
        <v>161</v>
      </c>
      <c r="AB16">
        <v>7</v>
      </c>
      <c r="AC16">
        <v>7.5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161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161</v>
      </c>
    </row>
    <row r="17" spans="7:57" hidden="1" x14ac:dyDescent="0.2">
      <c r="G17" t="s">
        <v>34</v>
      </c>
      <c r="H17">
        <v>5.75</v>
      </c>
      <c r="I17">
        <v>6.25</v>
      </c>
      <c r="J17">
        <v>6.05</v>
      </c>
      <c r="K17">
        <v>6.45</v>
      </c>
      <c r="L17">
        <v>6.25</v>
      </c>
      <c r="M17">
        <v>6.65</v>
      </c>
      <c r="N17">
        <v>6.4</v>
      </c>
      <c r="O17">
        <v>6.85</v>
      </c>
      <c r="Q17" t="s">
        <v>34</v>
      </c>
      <c r="AA17" t="s">
        <v>34</v>
      </c>
      <c r="AB17">
        <v>6.6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</row>
    <row r="18" spans="7:57" hidden="1" x14ac:dyDescent="0.2">
      <c r="G18" t="s">
        <v>35</v>
      </c>
      <c r="H18">
        <v>5.5</v>
      </c>
      <c r="I18">
        <v>5.95</v>
      </c>
      <c r="J18">
        <v>5.65</v>
      </c>
      <c r="K18">
        <v>6.15</v>
      </c>
      <c r="L18">
        <v>5.85</v>
      </c>
      <c r="M18">
        <v>6.35</v>
      </c>
      <c r="N18">
        <v>6.05</v>
      </c>
      <c r="O18">
        <v>6.55</v>
      </c>
      <c r="Q18" t="s">
        <v>35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</row>
    <row r="19" spans="7:57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</row>
    <row r="20" spans="7:57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</row>
    <row r="21" spans="7:57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</row>
    <row r="22" spans="7:57" hidden="1" x14ac:dyDescent="0.2">
      <c r="G22" t="s">
        <v>38</v>
      </c>
      <c r="H22">
        <v>4.4000000000000004</v>
      </c>
      <c r="I22">
        <v>4.4000000000000004</v>
      </c>
      <c r="J22">
        <v>4.5999999999999996</v>
      </c>
      <c r="K22">
        <v>4.5999999999999996</v>
      </c>
      <c r="L22">
        <v>4.8</v>
      </c>
      <c r="M22">
        <v>4.8</v>
      </c>
      <c r="N22">
        <v>5</v>
      </c>
      <c r="O22">
        <v>5</v>
      </c>
      <c r="Q22" t="s">
        <v>38</v>
      </c>
      <c r="AA22" t="s">
        <v>38</v>
      </c>
      <c r="AB22">
        <v>5.25</v>
      </c>
      <c r="AC22">
        <v>5.75</v>
      </c>
      <c r="AD22">
        <v>5.55</v>
      </c>
      <c r="AE22">
        <v>6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</row>
    <row r="23" spans="7:57" hidden="1" x14ac:dyDescent="0.2">
      <c r="G23" t="s">
        <v>39</v>
      </c>
      <c r="H23">
        <v>3.9</v>
      </c>
      <c r="I23">
        <v>3.9</v>
      </c>
      <c r="J23">
        <v>4.0999999999999996</v>
      </c>
      <c r="K23">
        <v>4.0999999999999996</v>
      </c>
      <c r="L23">
        <v>4.3</v>
      </c>
      <c r="M23">
        <v>4.3</v>
      </c>
      <c r="N23">
        <v>4.55</v>
      </c>
      <c r="O23">
        <v>4.55</v>
      </c>
      <c r="Q23" t="s">
        <v>39</v>
      </c>
      <c r="AA23" t="s">
        <v>39</v>
      </c>
      <c r="AB23">
        <v>5</v>
      </c>
      <c r="AC23">
        <v>5.45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</row>
    <row r="24" spans="7:57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162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162</v>
      </c>
    </row>
    <row r="25" spans="7:57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</row>
    <row r="26" spans="7:57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</row>
    <row r="27" spans="7:57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</row>
    <row r="28" spans="7:57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</row>
    <row r="29" spans="7:57" hidden="1" x14ac:dyDescent="0.2">
      <c r="G29" t="s">
        <v>81</v>
      </c>
      <c r="H29">
        <v>4.25</v>
      </c>
      <c r="I29">
        <v>4.25</v>
      </c>
      <c r="J29">
        <v>4.5</v>
      </c>
      <c r="K29">
        <v>4.5</v>
      </c>
      <c r="L29">
        <v>4.7</v>
      </c>
      <c r="M29">
        <v>4.7</v>
      </c>
      <c r="N29">
        <v>4.9000000000000004</v>
      </c>
      <c r="O29">
        <v>4.9000000000000004</v>
      </c>
      <c r="Q29" t="s">
        <v>81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</row>
    <row r="30" spans="7:57" hidden="1" x14ac:dyDescent="0.2">
      <c r="G30" t="s">
        <v>44</v>
      </c>
      <c r="H30">
        <v>3.85</v>
      </c>
      <c r="I30">
        <v>3.85</v>
      </c>
      <c r="J30">
        <v>4.05</v>
      </c>
      <c r="K30">
        <v>4.05</v>
      </c>
      <c r="L30">
        <v>4.25</v>
      </c>
      <c r="M30">
        <v>4.25</v>
      </c>
      <c r="N30">
        <v>4.45</v>
      </c>
      <c r="O30">
        <v>4.45</v>
      </c>
      <c r="Q30" t="s">
        <v>44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</row>
    <row r="31" spans="7:57" hidden="1" x14ac:dyDescent="0.2">
      <c r="G31" t="s">
        <v>67</v>
      </c>
      <c r="H31">
        <v>3.45</v>
      </c>
      <c r="I31">
        <v>3.45</v>
      </c>
      <c r="J31">
        <v>3.65</v>
      </c>
      <c r="K31">
        <v>3.65</v>
      </c>
      <c r="L31">
        <v>3.85</v>
      </c>
      <c r="M31">
        <v>3.85</v>
      </c>
      <c r="N31">
        <v>4.05</v>
      </c>
      <c r="O31">
        <v>4.05</v>
      </c>
      <c r="Q31" t="s">
        <v>67</v>
      </c>
      <c r="AA31" t="s">
        <v>67</v>
      </c>
      <c r="AB31">
        <v>4.8499999999999996</v>
      </c>
      <c r="AC31">
        <v>4.8499999999999996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</row>
    <row r="32" spans="7:57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163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163</v>
      </c>
    </row>
    <row r="33" spans="5:65" hidden="1" x14ac:dyDescent="0.2">
      <c r="G33" t="s">
        <v>50</v>
      </c>
      <c r="H33">
        <v>4.55</v>
      </c>
      <c r="I33">
        <v>4.55</v>
      </c>
      <c r="J33">
        <v>4.6500000000000004</v>
      </c>
      <c r="K33">
        <v>4.6500000000000004</v>
      </c>
      <c r="L33">
        <v>4.9000000000000004</v>
      </c>
      <c r="M33">
        <v>4.9000000000000004</v>
      </c>
      <c r="N33">
        <v>5.0999999999999996</v>
      </c>
      <c r="O33">
        <v>5.0999999999999996</v>
      </c>
      <c r="Q33" t="s">
        <v>50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</row>
    <row r="34" spans="5:65" hidden="1" x14ac:dyDescent="0.2">
      <c r="G34" t="s">
        <v>76</v>
      </c>
      <c r="H34">
        <v>4.25</v>
      </c>
      <c r="I34">
        <v>4.25</v>
      </c>
      <c r="J34">
        <v>4.45</v>
      </c>
      <c r="K34">
        <v>4.45</v>
      </c>
      <c r="L34">
        <v>4.7</v>
      </c>
      <c r="M34">
        <v>4.7</v>
      </c>
      <c r="N34">
        <v>4.9000000000000004</v>
      </c>
      <c r="O34">
        <v>4.9000000000000004</v>
      </c>
      <c r="Q34" t="s">
        <v>76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</row>
    <row r="35" spans="5:65" hidden="1" x14ac:dyDescent="0.2">
      <c r="G35" t="s">
        <v>77</v>
      </c>
      <c r="H35">
        <v>4</v>
      </c>
      <c r="I35">
        <v>4</v>
      </c>
      <c r="J35">
        <v>4.2</v>
      </c>
      <c r="K35">
        <v>4.2</v>
      </c>
      <c r="L35">
        <v>4.45</v>
      </c>
      <c r="M35">
        <v>4.45</v>
      </c>
      <c r="N35">
        <v>4.5999999999999996</v>
      </c>
      <c r="O35">
        <v>4.5999999999999996</v>
      </c>
      <c r="Q35" t="s">
        <v>77</v>
      </c>
      <c r="AA35" t="s">
        <v>77</v>
      </c>
      <c r="AB35">
        <v>5.5</v>
      </c>
      <c r="AC35">
        <v>5.6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</row>
    <row r="36" spans="5:65" hidden="1" x14ac:dyDescent="0.2">
      <c r="G36" t="s">
        <v>46</v>
      </c>
      <c r="H36">
        <v>3.75</v>
      </c>
      <c r="I36">
        <v>3.75</v>
      </c>
      <c r="J36">
        <v>3.95</v>
      </c>
      <c r="K36">
        <v>3.95</v>
      </c>
      <c r="L36">
        <v>4.1500000000000004</v>
      </c>
      <c r="M36">
        <v>4.1500000000000004</v>
      </c>
      <c r="N36">
        <v>4.3499999999999996</v>
      </c>
      <c r="O36">
        <v>4.3499999999999996</v>
      </c>
      <c r="Q36" t="s">
        <v>46</v>
      </c>
      <c r="AA36" t="s">
        <v>46</v>
      </c>
      <c r="AB36">
        <v>5.35</v>
      </c>
      <c r="AC36">
        <v>5.35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</row>
    <row r="37" spans="5:65" hidden="1" x14ac:dyDescent="0.2">
      <c r="G37" t="s">
        <v>82</v>
      </c>
      <c r="H37">
        <v>3.5</v>
      </c>
      <c r="I37">
        <v>3.5</v>
      </c>
      <c r="J37">
        <v>3.7</v>
      </c>
      <c r="K37">
        <v>3.7</v>
      </c>
      <c r="L37">
        <v>4</v>
      </c>
      <c r="M37">
        <v>4</v>
      </c>
      <c r="N37">
        <v>4.2</v>
      </c>
      <c r="O37">
        <v>4.2</v>
      </c>
      <c r="Q37" t="s">
        <v>82</v>
      </c>
      <c r="AA37" t="s">
        <v>82</v>
      </c>
      <c r="AB37">
        <v>5.05</v>
      </c>
      <c r="AC37">
        <v>5.05</v>
      </c>
      <c r="AD37">
        <f t="shared" ref="AD37" si="1">+(AD36+AD38)/2</f>
        <v>5.3</v>
      </c>
      <c r="AE37">
        <v>5.5</v>
      </c>
      <c r="AF37">
        <f t="shared" ref="AF37:AH37" si="2">+(AF36+AF38)/2</f>
        <v>5.45</v>
      </c>
      <c r="AG37">
        <f t="shared" si="2"/>
        <v>5.8</v>
      </c>
      <c r="AH37">
        <f t="shared" si="2"/>
        <v>5.6</v>
      </c>
      <c r="AI37">
        <v>5.95</v>
      </c>
      <c r="AK37" t="s">
        <v>82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</row>
    <row r="38" spans="5:65" hidden="1" x14ac:dyDescent="0.2">
      <c r="G38" t="s">
        <v>45</v>
      </c>
      <c r="H38">
        <v>3.2</v>
      </c>
      <c r="I38">
        <v>3.2</v>
      </c>
      <c r="J38">
        <v>3.4</v>
      </c>
      <c r="K38">
        <v>3.4</v>
      </c>
      <c r="L38">
        <v>3.6</v>
      </c>
      <c r="M38">
        <v>3.6</v>
      </c>
      <c r="N38">
        <v>3.75</v>
      </c>
      <c r="O38">
        <v>3.75</v>
      </c>
      <c r="Q38" t="s">
        <v>45</v>
      </c>
      <c r="AA38" t="s">
        <v>45</v>
      </c>
      <c r="AB38">
        <v>4.5999999999999996</v>
      </c>
      <c r="AC38">
        <v>4.5999999999999996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</row>
    <row r="39" spans="5:65" hidden="1" x14ac:dyDescent="0.2">
      <c r="G39" t="s">
        <v>68</v>
      </c>
      <c r="H39">
        <v>2.95</v>
      </c>
      <c r="I39">
        <v>2.95</v>
      </c>
      <c r="J39">
        <v>3.1</v>
      </c>
      <c r="K39">
        <v>3.1</v>
      </c>
      <c r="L39">
        <v>3.3</v>
      </c>
      <c r="M39">
        <v>3.3</v>
      </c>
      <c r="N39">
        <v>3.45</v>
      </c>
      <c r="O39">
        <v>3.45</v>
      </c>
      <c r="Q39" t="s">
        <v>68</v>
      </c>
      <c r="AA39" t="s">
        <v>68</v>
      </c>
      <c r="AB39">
        <v>4.2</v>
      </c>
      <c r="AC39">
        <v>4.2</v>
      </c>
      <c r="AD39">
        <v>4.8</v>
      </c>
      <c r="AE39">
        <v>5.15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</row>
    <row r="40" spans="5:65" hidden="1" x14ac:dyDescent="0.2">
      <c r="G40" t="s">
        <v>71</v>
      </c>
      <c r="H40" s="238">
        <v>186</v>
      </c>
      <c r="I40" s="238"/>
      <c r="J40" s="238">
        <v>209</v>
      </c>
      <c r="K40" s="238"/>
      <c r="L40" s="238">
        <v>232</v>
      </c>
      <c r="M40" s="238"/>
      <c r="N40" s="238">
        <v>255</v>
      </c>
      <c r="O40" s="238"/>
      <c r="R40" s="238">
        <v>179</v>
      </c>
      <c r="S40" s="238"/>
      <c r="T40" s="238">
        <v>202</v>
      </c>
      <c r="U40" s="238"/>
      <c r="V40" s="238">
        <v>225</v>
      </c>
      <c r="W40" s="238"/>
      <c r="X40" s="238">
        <v>248</v>
      </c>
      <c r="Y40" s="238"/>
      <c r="AB40" s="238">
        <v>219</v>
      </c>
      <c r="AC40" s="238"/>
      <c r="AD40" s="238">
        <v>242</v>
      </c>
      <c r="AE40" s="238"/>
      <c r="AF40" s="238">
        <v>265</v>
      </c>
      <c r="AG40" s="238"/>
      <c r="AH40" s="238">
        <v>288</v>
      </c>
      <c r="AI40" s="238"/>
      <c r="AL40" s="238">
        <v>198</v>
      </c>
      <c r="AM40" s="238"/>
      <c r="AN40" s="238">
        <v>233</v>
      </c>
      <c r="AO40" s="238"/>
      <c r="AP40" s="238">
        <v>256</v>
      </c>
      <c r="AQ40" s="238"/>
      <c r="AR40" s="238">
        <v>279</v>
      </c>
      <c r="AS40" s="238"/>
      <c r="AV40" s="238">
        <v>265</v>
      </c>
      <c r="AW40" s="238"/>
      <c r="AX40" s="238">
        <v>288</v>
      </c>
      <c r="AY40" s="238"/>
      <c r="AZ40" s="238">
        <v>311</v>
      </c>
      <c r="BA40" s="238"/>
      <c r="BB40" s="238">
        <v>334</v>
      </c>
      <c r="BC40" s="238"/>
      <c r="BF40" s="238">
        <v>272</v>
      </c>
      <c r="BG40" s="238"/>
      <c r="BH40" s="238">
        <v>295</v>
      </c>
      <c r="BI40" s="238"/>
      <c r="BJ40" s="238">
        <v>318</v>
      </c>
      <c r="BK40" s="238"/>
      <c r="BL40" s="238">
        <v>341</v>
      </c>
      <c r="BM40" s="238"/>
    </row>
    <row r="41" spans="5:65" hidden="1" x14ac:dyDescent="0.2">
      <c r="G41" t="s">
        <v>72</v>
      </c>
      <c r="H41" s="238">
        <v>62</v>
      </c>
      <c r="I41" s="238"/>
      <c r="J41" s="238">
        <v>72</v>
      </c>
      <c r="K41" s="238"/>
      <c r="L41" s="238">
        <v>82</v>
      </c>
      <c r="M41" s="238"/>
      <c r="N41" s="238">
        <v>92</v>
      </c>
      <c r="O41" s="238"/>
      <c r="R41" s="238">
        <v>61</v>
      </c>
      <c r="S41" s="238"/>
      <c r="T41" s="238">
        <v>71</v>
      </c>
      <c r="U41" s="238"/>
      <c r="V41" s="238">
        <v>81</v>
      </c>
      <c r="W41" s="238"/>
      <c r="X41" s="238">
        <v>91</v>
      </c>
      <c r="Y41" s="238"/>
      <c r="AB41" s="238">
        <v>69</v>
      </c>
      <c r="AC41" s="238"/>
      <c r="AD41" s="238">
        <v>79</v>
      </c>
      <c r="AE41" s="238"/>
      <c r="AF41" s="238">
        <v>89</v>
      </c>
      <c r="AG41" s="238"/>
      <c r="AH41" s="238">
        <v>99</v>
      </c>
      <c r="AI41" s="238"/>
      <c r="AL41" s="238">
        <v>69</v>
      </c>
      <c r="AM41" s="238"/>
      <c r="AN41" s="238">
        <v>76</v>
      </c>
      <c r="AO41" s="238"/>
      <c r="AP41" s="238">
        <v>84.5</v>
      </c>
      <c r="AQ41" s="238"/>
      <c r="AR41" s="238">
        <v>94.5</v>
      </c>
      <c r="AS41" s="238"/>
      <c r="AV41" s="238">
        <v>89.5</v>
      </c>
      <c r="AW41" s="238"/>
      <c r="AX41" s="238">
        <v>99.5</v>
      </c>
      <c r="AY41" s="238"/>
      <c r="AZ41" s="238">
        <v>109.5</v>
      </c>
      <c r="BA41" s="238"/>
      <c r="BB41" s="238">
        <v>119.5</v>
      </c>
      <c r="BC41" s="238"/>
      <c r="BF41" s="238">
        <v>86</v>
      </c>
      <c r="BG41" s="238"/>
      <c r="BH41" s="238">
        <v>96</v>
      </c>
      <c r="BI41" s="238"/>
      <c r="BJ41" s="238">
        <v>106</v>
      </c>
      <c r="BK41" s="238"/>
      <c r="BL41" s="238">
        <v>116</v>
      </c>
      <c r="BM41" s="238"/>
    </row>
    <row r="42" spans="5:65" hidden="1" x14ac:dyDescent="0.2">
      <c r="E42" t="s">
        <v>49</v>
      </c>
      <c r="G42" t="str">
        <f>+DIM!$AK$20&amp;"+"&amp;DIM!$S$14</f>
        <v>151+250</v>
      </c>
      <c r="H42" s="100">
        <f>+VLOOKUP($G$42,$G$16:$O$39,2,FALSE)</f>
        <v>5.05</v>
      </c>
      <c r="I42" s="100">
        <f>+VLOOKUP($G$42,$G$16:$O$39,3,FALSE)</f>
        <v>5.05</v>
      </c>
      <c r="J42" s="100">
        <f>+VLOOKUP($G$42,$G$16:$O$39,4,FALSE)</f>
        <v>5.3</v>
      </c>
      <c r="K42" s="100">
        <f>+VLOOKUP($G$42,$G$16:$O$39,5,FALSE)</f>
        <v>5.3</v>
      </c>
      <c r="L42" s="100">
        <f>+VLOOKUP($G$42,$G$16:$O$39,6,FALSE)</f>
        <v>5.5</v>
      </c>
      <c r="M42" s="100">
        <f>+VLOOKUP($G$42,$G$16:$O$39,7,FALSE)</f>
        <v>5.5</v>
      </c>
      <c r="N42" s="100">
        <f>+VLOOKUP($G$42,$G$16:$O$39,8,FALSE)</f>
        <v>5.75</v>
      </c>
      <c r="O42" s="100">
        <f>+VLOOKUP($G$42,$G$16:$O$39,9,FALSE)</f>
        <v>5.75</v>
      </c>
      <c r="Q42" t="str">
        <f>+DIM!$AK$20&amp;"+"&amp;DIM!$S$14</f>
        <v>151+250</v>
      </c>
      <c r="R42" s="100">
        <f>+VLOOKUP($Q$42,$Q$16:$Y$39,2,FALSE)</f>
        <v>0</v>
      </c>
      <c r="S42" s="100">
        <f>+VLOOKUP($Q$42,$Q$16:$Y$39,3,FALSE)</f>
        <v>0</v>
      </c>
      <c r="T42" s="100">
        <f>+VLOOKUP($Q$42,$Q$16:$Y$39,4,FALSE)</f>
        <v>0</v>
      </c>
      <c r="U42" s="100">
        <f>+VLOOKUP($Q$42,$Q$16:$Y$39,5,FALSE)</f>
        <v>0</v>
      </c>
      <c r="V42" s="100">
        <f>+VLOOKUP($Q$42,$Q$16:$Y$39,6,FALSE)</f>
        <v>0</v>
      </c>
      <c r="W42" s="100">
        <f>+VLOOKUP($Q$42,$Q$16:$Y$39,7,FALSE)</f>
        <v>0</v>
      </c>
      <c r="X42" s="100">
        <f>+VLOOKUP($Q$42,$Q$16:$Y$39,8,FALSE)</f>
        <v>0</v>
      </c>
      <c r="Y42" s="100">
        <f>+VLOOKUP($Q$42,$Q$16:$Y$39,9,FALSE)</f>
        <v>0</v>
      </c>
      <c r="AA42" t="str">
        <f>+DIM!$AK$20&amp;"+"&amp;DIM!$S$14</f>
        <v>151+250</v>
      </c>
      <c r="AB42" s="100">
        <f>+VLOOKUP($AA$42,$AA$16:$AI$41,2,FALSE)</f>
        <v>5.95</v>
      </c>
      <c r="AC42" s="100">
        <f>+VLOOKUP($AA$42,$AA$16:$AI$41,3,FALSE)</f>
        <v>6.35</v>
      </c>
      <c r="AD42" s="100">
        <f>+VLOOKUP($AA$42,$AA$16:$AI$41,4,FALSE)</f>
        <v>6.3</v>
      </c>
      <c r="AE42" s="100">
        <f>+VLOOKUP($AA$42,$AA$16:$AI$41,5,FALSE)</f>
        <v>6.7</v>
      </c>
      <c r="AF42" s="100">
        <f>+VLOOKUP($AA$42,$AA$16:$AI$41,6,FALSE)</f>
        <v>6.4</v>
      </c>
      <c r="AG42" s="100">
        <f>+VLOOKUP($AA$42,$AA$16:$AI$41,7,FALSE)</f>
        <v>6.85</v>
      </c>
      <c r="AH42" s="100">
        <f>+VLOOKUP($AA$42,$AA$16:$AI$41,8,FALSE)</f>
        <v>6.6</v>
      </c>
      <c r="AI42" s="100">
        <f>+VLOOKUP($AA$42,$AA$16:$AI$41,9,FALSE)</f>
        <v>7.05</v>
      </c>
      <c r="AK42" t="str">
        <f>+DIM!$AK$20&amp;"+"&amp;DIM!$S$14</f>
        <v>151+250</v>
      </c>
      <c r="AL42" s="100">
        <f>+VLOOKUP($AK$42,$AK$16:$AS$41,2,FALSE)</f>
        <v>0</v>
      </c>
      <c r="AM42" s="100">
        <f>+VLOOKUP($AK$42,$AK$16:$AS$41,3,FALSE)</f>
        <v>0</v>
      </c>
      <c r="AN42" s="100">
        <f>+VLOOKUP($AK$42,$AK$16:$AS$41,4,FALSE)</f>
        <v>0</v>
      </c>
      <c r="AO42" s="100">
        <f>+VLOOKUP($AK$42,$AK$16:$AS$41,5,FALSE)</f>
        <v>0</v>
      </c>
      <c r="AP42" s="100">
        <f>+VLOOKUP($AK$42,$AK$16:$AS$41,6,FALSE)</f>
        <v>0</v>
      </c>
      <c r="AQ42" s="100">
        <f>+VLOOKUP($AK$42,$AK$16:$AS$41,7,FALSE)</f>
        <v>0</v>
      </c>
      <c r="AR42" s="100">
        <f>+VLOOKUP($AK$42,$AK$16:$AS$41,8,FALSE)</f>
        <v>0</v>
      </c>
      <c r="AS42" s="100">
        <f>+VLOOKUP($AK$42,$AK$16:$AS$41,9,FALSE)</f>
        <v>0</v>
      </c>
      <c r="AU42" t="str">
        <f>+DIM!$AK$20&amp;"+"&amp;DIM!$S$14</f>
        <v>151+250</v>
      </c>
      <c r="AV42" s="100">
        <f>+VLOOKUP($AU$42,$AU$16:$BC$41,2,FALSE)</f>
        <v>7.05</v>
      </c>
      <c r="AW42" s="100">
        <f>+VLOOKUP($AU$42,$AU$16:$BC$41,3,FALSE)</f>
        <v>7.55</v>
      </c>
      <c r="AX42" s="100">
        <f>+VLOOKUP($AU$42,$AU$16:$BC$41,4,FALSE)</f>
        <v>7.25</v>
      </c>
      <c r="AY42" s="100">
        <f>+VLOOKUP($AU$42,$AU$16:$BC$41,5,FALSE)</f>
        <v>7.8</v>
      </c>
      <c r="AZ42" s="100">
        <f>+VLOOKUP($AU$42,$AU$16:$BC$41,6,FALSE)</f>
        <v>7.35</v>
      </c>
      <c r="BA42" s="100">
        <f>+VLOOKUP($AU$42,$AU$16:$BC$41,7,FALSE)</f>
        <v>7.9</v>
      </c>
      <c r="BB42" s="100">
        <f>+VLOOKUP($AU$42,$AU$16:$BC$41,8,FALSE)</f>
        <v>7.5</v>
      </c>
      <c r="BC42" s="100">
        <f>+VLOOKUP($AU$42,$AU$16:$BC$41,9,FALSE)</f>
        <v>8.0500000000000007</v>
      </c>
      <c r="BE42" t="str">
        <f>+DIM!$AK$20&amp;"+"&amp;DIM!$S$14</f>
        <v>151+250</v>
      </c>
      <c r="BF42" s="100">
        <f>+VLOOKUP($BE$42,$BE$16:$BM$41,2,FALSE)</f>
        <v>0</v>
      </c>
      <c r="BG42" s="100">
        <f>+VLOOKUP($BE$42,$BE$16:$BM$41,3,FALSE)</f>
        <v>0</v>
      </c>
      <c r="BH42" s="100">
        <f>+VLOOKUP($BE$42,$BE$16:$BM$41,4,FALSE)</f>
        <v>0</v>
      </c>
      <c r="BI42" s="100">
        <f>+VLOOKUP($BE$42,$BE$16:$BM$41,5,FALSE)</f>
        <v>0</v>
      </c>
      <c r="BJ42" s="100">
        <f>+VLOOKUP($BE$42,$BE$16:$BM$41,6,FALSE)</f>
        <v>0</v>
      </c>
      <c r="BK42" s="100">
        <f>+VLOOKUP($BE$42,$BE$16:$BM$41,7,FALSE)</f>
        <v>0</v>
      </c>
      <c r="BL42" s="100">
        <f>+VLOOKUP($BE$42,$BE$16:$BM$41,8,FALSE)</f>
        <v>0</v>
      </c>
      <c r="BM42" s="100">
        <f>+VLOOKUP($BE$42,$BE$16:$BM$41,9,FALSE)</f>
        <v>0</v>
      </c>
    </row>
    <row r="43" spans="5:65" hidden="1" x14ac:dyDescent="0.2">
      <c r="F43" t="s">
        <v>47</v>
      </c>
      <c r="G43" t="str">
        <f>+DIM!AD15</f>
        <v>1C</v>
      </c>
      <c r="H43" s="237">
        <f>+IF(DIM!$AD$15=$H$15,H42,I42)</f>
        <v>5.05</v>
      </c>
      <c r="I43" s="237"/>
      <c r="J43" s="237">
        <f>+IF(DIM!$AD$15=$H$15,J42,K42)</f>
        <v>5.3</v>
      </c>
      <c r="K43" s="237"/>
      <c r="L43" s="237">
        <f>+IF(DIM!$AD$15=$H$15,L42,M42)</f>
        <v>5.5</v>
      </c>
      <c r="M43" s="237"/>
      <c r="N43" s="237">
        <f>+IF(DIM!$AD$15=$H$15,N42,O42)</f>
        <v>5.75</v>
      </c>
      <c r="O43" s="237"/>
      <c r="Q43" t="str">
        <f>+DIM!AD15</f>
        <v>1C</v>
      </c>
      <c r="R43" s="235">
        <f>+IF(DIM!$AD$15=ebsvs!$H$15,ebsvs!R42,ebsvs!S42)</f>
        <v>4.5</v>
      </c>
      <c r="S43" s="236"/>
      <c r="T43" s="235">
        <f>+IF(DIM!$AD$15=ebsvs!$H$15,ebsvs!T42,ebsvs!U42)</f>
        <v>4.75</v>
      </c>
      <c r="U43" s="236"/>
      <c r="V43" s="235">
        <f>+IF(DIM!$AD$15=ebsvs!$H$15,ebsvs!V42,ebsvs!W42)</f>
        <v>4.05</v>
      </c>
      <c r="W43" s="236"/>
      <c r="X43" s="235">
        <f>+IF(DIM!$AD$15=ebsvs!$H$15,ebsvs!X42,ebsvs!Y42)</f>
        <v>4.9000000000000004</v>
      </c>
      <c r="Y43" s="236"/>
      <c r="AA43" t="str">
        <f>+DIM!AD15</f>
        <v>1C</v>
      </c>
      <c r="AB43" s="237">
        <f>+IF(DIM!$AD$15=$AB$15,AB42,AC42)</f>
        <v>6.35</v>
      </c>
      <c r="AC43" s="237"/>
      <c r="AD43" s="237">
        <f>+IF(DIM!$AD$15=$AB$15,AD42,AE42)</f>
        <v>6.7</v>
      </c>
      <c r="AE43" s="237"/>
      <c r="AF43" s="237">
        <f>+IF(DIM!$AD$15=$AB$15,AF42,AG42)</f>
        <v>6.85</v>
      </c>
      <c r="AG43" s="237"/>
      <c r="AH43" s="237">
        <f>+IF(DIM!$AD$15=$AB$15,AH42,AI42)</f>
        <v>7.05</v>
      </c>
      <c r="AI43" s="237"/>
      <c r="AK43" t="str">
        <f>+DIM!AD15</f>
        <v>1C</v>
      </c>
      <c r="AL43" s="235">
        <f>+IF(DIM!$AD$15=ebsvs!$H$15,ebsvs!AL42,ebsvs!AM42)</f>
        <v>5.2</v>
      </c>
      <c r="AM43" s="236"/>
      <c r="AN43" s="235">
        <f>+IF(DIM!$AD$15=ebsvs!$H$15,ebsvs!AN42,ebsvs!AO42)</f>
        <v>6.05</v>
      </c>
      <c r="AO43" s="236"/>
      <c r="AP43" s="235">
        <f>+IF(DIM!$AD$15=ebsvs!$H$15,ebsvs!AP42,ebsvs!AQ42)</f>
        <v>6.1</v>
      </c>
      <c r="AQ43" s="236"/>
      <c r="AR43" s="235">
        <f>+IF(DIM!$AD$15=ebsvs!$H$15,ebsvs!AR42,ebsvs!AS42)</f>
        <v>6</v>
      </c>
      <c r="AS43" s="236"/>
      <c r="AU43" t="str">
        <f>+AK43</f>
        <v>1C</v>
      </c>
      <c r="AV43" s="237">
        <f>+IF(DIM!$AD$15=$AV$15,AV42,AW42)</f>
        <v>7.55</v>
      </c>
      <c r="AW43" s="237"/>
      <c r="AX43" s="237">
        <f>+IF(DIM!$AD$15=$AV$15,AX42,AY42)</f>
        <v>7.8</v>
      </c>
      <c r="AY43" s="237"/>
      <c r="AZ43" s="237">
        <f>+IF(DIM!$AD$15=$AV$15,AZ42,BA42)</f>
        <v>7.9</v>
      </c>
      <c r="BA43" s="237"/>
      <c r="BB43" s="237">
        <f>+IF(DIM!$AD$15=$AV$15,BB42,BC42)</f>
        <v>8.0500000000000007</v>
      </c>
      <c r="BC43" s="237"/>
      <c r="BE43" t="str">
        <f>+AU43</f>
        <v>1C</v>
      </c>
      <c r="BF43" s="235">
        <f>+IF(DIM!$AD$15=ebsvs!$H$15,ebsvs!BF42,ebsvs!BG42)</f>
        <v>6.05</v>
      </c>
      <c r="BG43" s="236"/>
      <c r="BH43" s="235">
        <f>+IF(DIM!$AD$15=ebsvs!$H$15,ebsvs!BH42,ebsvs!BI42)</f>
        <v>5.9</v>
      </c>
      <c r="BI43" s="236"/>
      <c r="BJ43" s="235">
        <f>+IF(DIM!$AD$15=ebsvs!$H$15,ebsvs!BJ42,ebsvs!BK42)</f>
        <v>5.75</v>
      </c>
      <c r="BK43" s="236"/>
      <c r="BL43" s="235">
        <f>+IF(DIM!$AD$15=ebsvs!$H$15,ebsvs!BL42,ebsvs!BM42)</f>
        <v>5.6</v>
      </c>
      <c r="BM43" s="236"/>
    </row>
    <row r="44" spans="5:65" hidden="1" x14ac:dyDescent="0.2">
      <c r="F44" t="s">
        <v>48</v>
      </c>
      <c r="G44" s="101">
        <f>+DIM!S32</f>
        <v>5</v>
      </c>
      <c r="K44" s="102">
        <f>+HLOOKUP(G44,H14:O43,30,FALSE)</f>
        <v>5.05</v>
      </c>
      <c r="Q44" s="101">
        <f>+DIM!S32</f>
        <v>5</v>
      </c>
      <c r="U44" s="102">
        <f>+HLOOKUP(Q44,R14:Y43,30,FALSE)</f>
        <v>4.5</v>
      </c>
      <c r="AA44" s="101">
        <f>+DIM!S32</f>
        <v>5</v>
      </c>
      <c r="AE44" s="102">
        <f>+HLOOKUP(AA44,AB14:AI43,30,FALSE)</f>
        <v>6.35</v>
      </c>
      <c r="AK44" s="101">
        <f>+AA44</f>
        <v>5</v>
      </c>
      <c r="AO44" s="102">
        <f>+HLOOKUP(AK44,AL14:AS43,30,FALSE)</f>
        <v>5.2</v>
      </c>
      <c r="AU44" s="100">
        <f>+AK44</f>
        <v>5</v>
      </c>
      <c r="AY44" s="102">
        <f>+HLOOKUP(AU44,AV14:BC43,30,FALSE)</f>
        <v>7.55</v>
      </c>
      <c r="BE44" s="101">
        <f>+AU44</f>
        <v>5</v>
      </c>
      <c r="BI44" s="102">
        <f>+HLOOKUP(BE44,BF14:BM43,30,FALSE)</f>
        <v>6.05</v>
      </c>
    </row>
    <row r="45" spans="5:65" hidden="1" x14ac:dyDescent="0.2">
      <c r="E45">
        <f>+DIM!Q32</f>
        <v>12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5:65" hidden="1" x14ac:dyDescent="0.2">
      <c r="F46" t="s">
        <v>66</v>
      </c>
      <c r="G46" t="s">
        <v>90</v>
      </c>
      <c r="K46" s="98">
        <f>+HLOOKUP(G44,H14:O40,27,FALSE)</f>
        <v>186</v>
      </c>
      <c r="U46" s="98">
        <f>+HLOOKUP(Q44,R14:Y40,27,FALSE)</f>
        <v>179</v>
      </c>
      <c r="AE46" s="98">
        <f>+HLOOKUP(AA44,AB14:AI40,27,FALSE)</f>
        <v>219</v>
      </c>
      <c r="AO46" s="98">
        <f>+HLOOKUP(AK44,AL14:AS40,27,FALSE)</f>
        <v>198</v>
      </c>
      <c r="AY46" s="98">
        <f>+HLOOKUP(AU44,AV14:BC40,27,FALSE)</f>
        <v>265</v>
      </c>
      <c r="BI46" s="98">
        <f>+HLOOKUP(BE44,BF14:BM40,27,FALSE)</f>
        <v>272</v>
      </c>
    </row>
    <row r="47" spans="5:65" hidden="1" x14ac:dyDescent="0.2">
      <c r="F47">
        <v>12</v>
      </c>
      <c r="G47">
        <f>+K44</f>
        <v>5.05</v>
      </c>
      <c r="H47">
        <f>+K46</f>
        <v>186</v>
      </c>
      <c r="I47">
        <f>+K47</f>
        <v>62</v>
      </c>
      <c r="J47">
        <f>+K48</f>
        <v>23.03</v>
      </c>
      <c r="K47" s="98">
        <f>+HLOOKUP(G44,H14:O41,28,FALSE)</f>
        <v>62</v>
      </c>
      <c r="U47" s="98">
        <f>+HLOOKUP(Q44,R14:Y41,28,FALSE)</f>
        <v>61</v>
      </c>
      <c r="AE47" s="98">
        <f>+HLOOKUP(AA44,AB14:AI41,28,FALSE)</f>
        <v>69</v>
      </c>
      <c r="AO47" s="98">
        <f>+HLOOKUP(AK44,AL14:AS41,28,FALSE)</f>
        <v>69</v>
      </c>
      <c r="AY47" s="98">
        <f>+HLOOKUP(AU44,AV14:BC41,28,FALSE)</f>
        <v>89.5</v>
      </c>
      <c r="BI47" s="98">
        <f>+HLOOKUP(BE44,BF14:BM41,28,FALSE)</f>
        <v>86</v>
      </c>
    </row>
    <row r="48" spans="5:65" hidden="1" x14ac:dyDescent="0.2">
      <c r="F48">
        <v>15</v>
      </c>
      <c r="G48">
        <f>+AE44</f>
        <v>6.35</v>
      </c>
      <c r="H48">
        <f>+AE46</f>
        <v>219</v>
      </c>
      <c r="I48">
        <f>+AE47</f>
        <v>69</v>
      </c>
      <c r="J48">
        <f>+AE48</f>
        <v>27.31</v>
      </c>
      <c r="K48" s="98">
        <f>+HLOOKUP(K45,H113:O115,3,FALSE)</f>
        <v>23.03</v>
      </c>
      <c r="U48" s="98">
        <f>+HLOOKUP(U45,R113:Y115,3,FALSE)</f>
        <v>22.49</v>
      </c>
      <c r="AE48" s="98">
        <f>+HLOOKUP(AE45,AB113:AI115,3,FALSE)</f>
        <v>27.31</v>
      </c>
      <c r="AO48" s="98">
        <f>+HLOOKUP(AO45,AL113:AS115,3,FALSE)</f>
        <v>27.31</v>
      </c>
      <c r="AY48" s="98">
        <f>+HLOOKUP(AY45,AV113:BC115,3,FALSE)</f>
        <v>31.25</v>
      </c>
      <c r="BI48" s="98">
        <f>+HLOOKUP(BI45,BF113:BM115,3,FALSE)</f>
        <v>31.25</v>
      </c>
    </row>
    <row r="49" spans="5:65" ht="19.5" hidden="1" x14ac:dyDescent="0.35">
      <c r="F49">
        <v>20</v>
      </c>
      <c r="G49">
        <f>+AY44</f>
        <v>7.55</v>
      </c>
      <c r="H49">
        <f>+AY46</f>
        <v>265</v>
      </c>
      <c r="I49">
        <f>+AY47</f>
        <v>89.5</v>
      </c>
      <c r="J49">
        <f>+AY48</f>
        <v>31.25</v>
      </c>
      <c r="K49" s="97">
        <v>12</v>
      </c>
      <c r="U49" s="97">
        <v>12</v>
      </c>
      <c r="AE49" s="97">
        <v>15</v>
      </c>
      <c r="AO49" s="97">
        <v>15</v>
      </c>
      <c r="AY49" s="97">
        <v>20</v>
      </c>
      <c r="BI49" s="97">
        <v>20</v>
      </c>
    </row>
    <row r="50" spans="5:65" hidden="1" x14ac:dyDescent="0.2">
      <c r="E50" s="98" t="s">
        <v>301</v>
      </c>
      <c r="F50" t="s">
        <v>64</v>
      </c>
      <c r="G50">
        <f>IF($E$45&gt;20,"--",+VLOOKUP(DIM!Q32,F47:I49,2,FALSE))</f>
        <v>5.05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E51" s="98" t="s">
        <v>88</v>
      </c>
      <c r="F51" t="s">
        <v>75</v>
      </c>
      <c r="G51">
        <f>IF($E$45&gt;20,0,+VLOOKUP(DIM!Q32,F47:I49,3,FALSE))</f>
        <v>186</v>
      </c>
    </row>
    <row r="52" spans="5:65" hidden="1" x14ac:dyDescent="0.2">
      <c r="F52" t="s">
        <v>72</v>
      </c>
      <c r="G52">
        <f>IF($E$45&gt;20,0,+VLOOKUP(DIM!Q32,F47:I49,4,FALSE))</f>
        <v>62</v>
      </c>
    </row>
    <row r="53" spans="5:65" hidden="1" x14ac:dyDescent="0.2">
      <c r="F53" t="s">
        <v>275</v>
      </c>
      <c r="G53">
        <f>IF($E$45&gt;20,0,+VLOOKUP(DIM!Q32,F47:J49,5,FALSE))</f>
        <v>23.03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  <c r="AY56" s="97">
        <v>20</v>
      </c>
      <c r="AZ56" s="97" t="s">
        <v>87</v>
      </c>
      <c r="BI56" s="97">
        <v>20</v>
      </c>
      <c r="BJ56" s="97" t="s">
        <v>87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  <c r="AY57" s="98" t="s">
        <v>84</v>
      </c>
      <c r="BI57" s="98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179</v>
      </c>
      <c r="AR58">
        <v>179</v>
      </c>
      <c r="AV58">
        <v>179</v>
      </c>
      <c r="AX58">
        <v>179</v>
      </c>
      <c r="AZ58">
        <v>179</v>
      </c>
      <c r="BB58">
        <v>179</v>
      </c>
      <c r="BF58">
        <v>179</v>
      </c>
      <c r="BH58">
        <v>179</v>
      </c>
      <c r="BJ58">
        <v>179</v>
      </c>
      <c r="BL58">
        <v>179</v>
      </c>
    </row>
    <row r="59" spans="5:65" hidden="1" x14ac:dyDescent="0.2">
      <c r="H59" s="237" t="s">
        <v>302</v>
      </c>
      <c r="I59" s="237"/>
      <c r="J59" s="237" t="s">
        <v>303</v>
      </c>
      <c r="K59" s="237"/>
      <c r="L59" s="237" t="s">
        <v>304</v>
      </c>
      <c r="M59" s="237"/>
      <c r="N59" s="237" t="s">
        <v>305</v>
      </c>
      <c r="O59" s="237"/>
      <c r="R59" s="237" t="s">
        <v>302</v>
      </c>
      <c r="S59" s="237"/>
      <c r="T59" s="237" t="s">
        <v>303</v>
      </c>
      <c r="U59" s="237"/>
      <c r="V59" s="237" t="s">
        <v>304</v>
      </c>
      <c r="W59" s="237"/>
      <c r="X59" s="237" t="s">
        <v>305</v>
      </c>
      <c r="Y59" s="237"/>
      <c r="AB59" s="237" t="s">
        <v>306</v>
      </c>
      <c r="AC59" s="237"/>
      <c r="AD59" s="237" t="s">
        <v>307</v>
      </c>
      <c r="AE59" s="237"/>
      <c r="AF59" s="237" t="s">
        <v>308</v>
      </c>
      <c r="AG59" s="237"/>
      <c r="AH59" s="237" t="s">
        <v>309</v>
      </c>
      <c r="AI59" s="237"/>
      <c r="AL59" s="237" t="s">
        <v>306</v>
      </c>
      <c r="AM59" s="237"/>
      <c r="AN59" s="237" t="s">
        <v>307</v>
      </c>
      <c r="AO59" s="237"/>
      <c r="AP59" s="237" t="s">
        <v>308</v>
      </c>
      <c r="AQ59" s="237"/>
      <c r="AR59" s="237" t="s">
        <v>309</v>
      </c>
      <c r="AS59" s="237"/>
      <c r="AV59" s="237" t="s">
        <v>310</v>
      </c>
      <c r="AW59" s="237"/>
      <c r="AX59" s="237" t="s">
        <v>311</v>
      </c>
      <c r="AY59" s="237"/>
      <c r="AZ59" s="237" t="s">
        <v>312</v>
      </c>
      <c r="BA59" s="237"/>
      <c r="BB59" s="237" t="s">
        <v>313</v>
      </c>
      <c r="BC59" s="237"/>
      <c r="BF59" s="237" t="s">
        <v>310</v>
      </c>
      <c r="BG59" s="237"/>
      <c r="BH59" s="237" t="s">
        <v>311</v>
      </c>
      <c r="BI59" s="237"/>
      <c r="BJ59" s="237" t="s">
        <v>312</v>
      </c>
      <c r="BK59" s="237"/>
      <c r="BL59" s="237" t="s">
        <v>313</v>
      </c>
      <c r="BM59" s="237"/>
    </row>
    <row r="60" spans="5:65" hidden="1" x14ac:dyDescent="0.2">
      <c r="H60" s="237">
        <v>5</v>
      </c>
      <c r="I60" s="237"/>
      <c r="J60" s="237">
        <v>6</v>
      </c>
      <c r="K60" s="237"/>
      <c r="L60" s="237">
        <v>7</v>
      </c>
      <c r="M60" s="237"/>
      <c r="N60" s="237">
        <v>8</v>
      </c>
      <c r="O60" s="237"/>
      <c r="R60" s="237">
        <v>5</v>
      </c>
      <c r="S60" s="237"/>
      <c r="T60" s="237">
        <v>6</v>
      </c>
      <c r="U60" s="237"/>
      <c r="V60" s="237">
        <v>7</v>
      </c>
      <c r="W60" s="237"/>
      <c r="X60" s="237">
        <v>8</v>
      </c>
      <c r="Y60" s="237"/>
      <c r="AB60" s="237">
        <v>5</v>
      </c>
      <c r="AC60" s="237"/>
      <c r="AD60" s="237">
        <v>6</v>
      </c>
      <c r="AE60" s="237"/>
      <c r="AF60" s="237">
        <v>7</v>
      </c>
      <c r="AG60" s="237"/>
      <c r="AH60" s="237">
        <v>8</v>
      </c>
      <c r="AI60" s="237"/>
      <c r="AL60" s="237">
        <v>5</v>
      </c>
      <c r="AM60" s="237"/>
      <c r="AN60" s="237">
        <v>6</v>
      </c>
      <c r="AO60" s="237"/>
      <c r="AP60" s="237">
        <v>7</v>
      </c>
      <c r="AQ60" s="237"/>
      <c r="AR60" s="237">
        <v>8</v>
      </c>
      <c r="AS60" s="237"/>
      <c r="AV60" s="237">
        <v>5</v>
      </c>
      <c r="AW60" s="237"/>
      <c r="AX60" s="237">
        <v>6</v>
      </c>
      <c r="AY60" s="237"/>
      <c r="AZ60" s="237">
        <v>7</v>
      </c>
      <c r="BA60" s="237"/>
      <c r="BB60" s="237">
        <v>8</v>
      </c>
      <c r="BC60" s="237"/>
      <c r="BF60" s="237">
        <v>5</v>
      </c>
      <c r="BG60" s="237"/>
      <c r="BH60" s="237">
        <v>6</v>
      </c>
      <c r="BI60" s="237"/>
      <c r="BJ60" s="237">
        <v>7</v>
      </c>
      <c r="BK60" s="237"/>
      <c r="BL60" s="237">
        <v>8</v>
      </c>
      <c r="BM60" s="237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161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161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161</v>
      </c>
      <c r="AU62" t="s">
        <v>161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</row>
    <row r="63" spans="5:65" hidden="1" x14ac:dyDescent="0.2">
      <c r="G63" t="s">
        <v>34</v>
      </c>
      <c r="H63">
        <v>6.6</v>
      </c>
      <c r="I63">
        <v>7.12</v>
      </c>
      <c r="J63">
        <v>6.8</v>
      </c>
      <c r="K63">
        <v>7.38</v>
      </c>
      <c r="L63">
        <v>6.4</v>
      </c>
      <c r="M63">
        <v>7</v>
      </c>
      <c r="N63">
        <v>7.6</v>
      </c>
      <c r="O63">
        <v>7.85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</row>
    <row r="64" spans="5:65" hidden="1" x14ac:dyDescent="0.2">
      <c r="G64" t="s">
        <v>35</v>
      </c>
      <c r="H64">
        <v>6.3</v>
      </c>
      <c r="I64">
        <v>6.8</v>
      </c>
      <c r="J64">
        <v>6.47</v>
      </c>
      <c r="K64">
        <v>7</v>
      </c>
      <c r="L64">
        <v>6.45</v>
      </c>
      <c r="M64">
        <v>7</v>
      </c>
      <c r="N64">
        <v>6.85</v>
      </c>
      <c r="O64">
        <v>7.5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</row>
    <row r="65" spans="7:57" hidden="1" x14ac:dyDescent="0.2">
      <c r="G65" t="s">
        <v>36</v>
      </c>
      <c r="H65">
        <v>5.95</v>
      </c>
      <c r="I65">
        <v>6.5</v>
      </c>
      <c r="J65">
        <v>6.2</v>
      </c>
      <c r="K65">
        <v>6.75</v>
      </c>
      <c r="L65">
        <v>6.4</v>
      </c>
      <c r="M65">
        <v>7</v>
      </c>
      <c r="N65">
        <v>6.6</v>
      </c>
      <c r="O65">
        <v>7.2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</row>
    <row r="66" spans="7:57" hidden="1" x14ac:dyDescent="0.2">
      <c r="G66" t="s">
        <v>37</v>
      </c>
      <c r="H66">
        <v>5.7</v>
      </c>
      <c r="I66">
        <v>6.3</v>
      </c>
      <c r="J66">
        <v>5.95</v>
      </c>
      <c r="K66">
        <v>6.5</v>
      </c>
      <c r="L66">
        <v>6.15</v>
      </c>
      <c r="M66">
        <v>6.75</v>
      </c>
      <c r="N66">
        <v>6.35</v>
      </c>
      <c r="O66">
        <v>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</row>
    <row r="67" spans="7:57" hidden="1" x14ac:dyDescent="0.2">
      <c r="G67" t="s">
        <v>80</v>
      </c>
      <c r="H67">
        <v>5.5</v>
      </c>
      <c r="I67">
        <v>6.05</v>
      </c>
      <c r="J67">
        <f t="shared" ref="J67:J74" si="3">0.2+H67</f>
        <v>5.7</v>
      </c>
      <c r="K67">
        <v>6.3</v>
      </c>
      <c r="L67">
        <v>5.95</v>
      </c>
      <c r="M67">
        <v>6.55</v>
      </c>
      <c r="N67">
        <v>6.15</v>
      </c>
      <c r="O67">
        <v>6.75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</row>
    <row r="68" spans="7:57" hidden="1" x14ac:dyDescent="0.2">
      <c r="G68" t="s">
        <v>38</v>
      </c>
      <c r="H68">
        <v>5.15</v>
      </c>
      <c r="I68">
        <v>5.7</v>
      </c>
      <c r="J68">
        <f t="shared" si="3"/>
        <v>5.3500000000000005</v>
      </c>
      <c r="K68">
        <v>5.9</v>
      </c>
      <c r="L68">
        <v>5.6</v>
      </c>
      <c r="M68">
        <v>6.15</v>
      </c>
      <c r="N68">
        <v>5.8</v>
      </c>
      <c r="O68">
        <v>6.4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</row>
    <row r="69" spans="7:57" hidden="1" x14ac:dyDescent="0.2">
      <c r="G69" t="s">
        <v>39</v>
      </c>
      <c r="H69">
        <v>4.8499999999999996</v>
      </c>
      <c r="I69">
        <v>5.4</v>
      </c>
      <c r="J69">
        <v>5.0999999999999996</v>
      </c>
      <c r="K69">
        <v>5.65</v>
      </c>
      <c r="L69">
        <v>5.3</v>
      </c>
      <c r="M69">
        <v>5.85</v>
      </c>
      <c r="N69">
        <v>5.5</v>
      </c>
      <c r="O69">
        <v>6.1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</row>
    <row r="70" spans="7:57" hidden="1" x14ac:dyDescent="0.2">
      <c r="G70" t="s">
        <v>162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162</v>
      </c>
      <c r="AA70" t="s">
        <v>162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</row>
    <row r="71" spans="7:57" hidden="1" x14ac:dyDescent="0.2">
      <c r="G71" t="s">
        <v>40</v>
      </c>
      <c r="H71">
        <v>6.15</v>
      </c>
      <c r="I71">
        <v>6.5</v>
      </c>
      <c r="J71">
        <f t="shared" si="3"/>
        <v>6.3500000000000005</v>
      </c>
      <c r="K71">
        <v>6.75</v>
      </c>
      <c r="L71">
        <v>6.55</v>
      </c>
      <c r="M71">
        <v>7</v>
      </c>
      <c r="N71">
        <v>6.8</v>
      </c>
      <c r="O71">
        <v>7.25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</row>
    <row r="72" spans="7:57" hidden="1" x14ac:dyDescent="0.2">
      <c r="G72" t="s">
        <v>41</v>
      </c>
      <c r="H72">
        <v>5.9</v>
      </c>
      <c r="I72">
        <v>6.25</v>
      </c>
      <c r="J72">
        <f t="shared" si="3"/>
        <v>6.1000000000000005</v>
      </c>
      <c r="K72">
        <v>6.5</v>
      </c>
      <c r="L72">
        <v>6.3</v>
      </c>
      <c r="M72">
        <v>6.75</v>
      </c>
      <c r="N72">
        <v>6.5</v>
      </c>
      <c r="O72">
        <v>7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</row>
    <row r="73" spans="7:57" hidden="1" x14ac:dyDescent="0.2">
      <c r="G73" t="s">
        <v>42</v>
      </c>
      <c r="H73">
        <v>5.65</v>
      </c>
      <c r="I73">
        <v>6.05</v>
      </c>
      <c r="J73">
        <f t="shared" si="3"/>
        <v>5.8500000000000005</v>
      </c>
      <c r="K73">
        <v>6.3</v>
      </c>
      <c r="L73">
        <v>6.1</v>
      </c>
      <c r="M73">
        <v>6.55</v>
      </c>
      <c r="N73">
        <v>6.3</v>
      </c>
      <c r="O73">
        <v>6.75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</row>
    <row r="74" spans="7:57" hidden="1" x14ac:dyDescent="0.2">
      <c r="G74" t="s">
        <v>43</v>
      </c>
      <c r="H74">
        <v>5.45</v>
      </c>
      <c r="I74">
        <v>5.85</v>
      </c>
      <c r="J74">
        <f t="shared" si="3"/>
        <v>5.65</v>
      </c>
      <c r="K74">
        <v>6.1</v>
      </c>
      <c r="L74">
        <v>5.9</v>
      </c>
      <c r="M74">
        <v>6.35</v>
      </c>
      <c r="N74">
        <v>6.1</v>
      </c>
      <c r="O74">
        <v>6.55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</row>
    <row r="75" spans="7:57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5.7</v>
      </c>
      <c r="M75">
        <v>6.15</v>
      </c>
      <c r="N75">
        <v>5.9</v>
      </c>
      <c r="O75">
        <v>6.4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</row>
    <row r="76" spans="7:57" hidden="1" x14ac:dyDescent="0.2">
      <c r="G76" t="s">
        <v>44</v>
      </c>
      <c r="H76">
        <v>4.95</v>
      </c>
      <c r="I76">
        <v>5.15</v>
      </c>
      <c r="J76">
        <f t="shared" ref="J76" si="4">0.2+H76</f>
        <v>5.15</v>
      </c>
      <c r="K76">
        <v>5.65</v>
      </c>
      <c r="L76">
        <v>5.4</v>
      </c>
      <c r="M76">
        <v>5.9</v>
      </c>
      <c r="N76">
        <v>5.6</v>
      </c>
      <c r="O76">
        <v>6.1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</row>
    <row r="77" spans="7:57" hidden="1" x14ac:dyDescent="0.2">
      <c r="G77" t="s">
        <v>67</v>
      </c>
      <c r="H77">
        <v>4.7</v>
      </c>
      <c r="I77">
        <v>5.15</v>
      </c>
      <c r="J77">
        <v>4.95</v>
      </c>
      <c r="K77">
        <v>5.4</v>
      </c>
      <c r="L77">
        <v>5.15</v>
      </c>
      <c r="M77">
        <v>5.6</v>
      </c>
      <c r="N77">
        <v>5.35</v>
      </c>
      <c r="O77">
        <v>5.85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</row>
    <row r="78" spans="7:57" hidden="1" x14ac:dyDescent="0.2">
      <c r="G78" t="s">
        <v>163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163</v>
      </c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163</v>
      </c>
    </row>
    <row r="79" spans="7:57" hidden="1" x14ac:dyDescent="0.2">
      <c r="G79" t="s">
        <v>50</v>
      </c>
      <c r="H79">
        <v>5.65</v>
      </c>
      <c r="I79">
        <v>5.9</v>
      </c>
      <c r="J79">
        <f t="shared" ref="J79:J81" si="5">0.2+H79</f>
        <v>5.8500000000000005</v>
      </c>
      <c r="K79">
        <v>6.1</v>
      </c>
      <c r="L79">
        <v>6.1</v>
      </c>
      <c r="M79">
        <v>6.35</v>
      </c>
      <c r="N79">
        <v>6.3</v>
      </c>
      <c r="O79">
        <v>6.6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</row>
    <row r="80" spans="7:57" hidden="1" x14ac:dyDescent="0.2">
      <c r="G80" t="s">
        <v>76</v>
      </c>
      <c r="H80">
        <v>5.45</v>
      </c>
      <c r="I80">
        <v>5.65</v>
      </c>
      <c r="J80">
        <f t="shared" si="5"/>
        <v>5.65</v>
      </c>
      <c r="K80">
        <v>5.95</v>
      </c>
      <c r="L80">
        <v>5.9</v>
      </c>
      <c r="M80">
        <v>6.2</v>
      </c>
      <c r="N80">
        <v>6.1</v>
      </c>
      <c r="O80">
        <v>6.4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</row>
    <row r="81" spans="5:65" hidden="1" x14ac:dyDescent="0.2">
      <c r="G81" t="s">
        <v>77</v>
      </c>
      <c r="H81">
        <v>5.3</v>
      </c>
      <c r="I81">
        <v>5.5</v>
      </c>
      <c r="J81">
        <f t="shared" si="5"/>
        <v>5.5</v>
      </c>
      <c r="K81">
        <v>5.85</v>
      </c>
      <c r="L81">
        <v>5.75</v>
      </c>
      <c r="M81">
        <v>6</v>
      </c>
      <c r="N81">
        <v>5.9</v>
      </c>
      <c r="O81">
        <v>6.25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</row>
    <row r="82" spans="5:65" hidden="1" x14ac:dyDescent="0.2">
      <c r="G82" t="s">
        <v>46</v>
      </c>
      <c r="H82">
        <v>5.0999999999999996</v>
      </c>
      <c r="I82">
        <v>5.4</v>
      </c>
      <c r="J82">
        <v>5.35</v>
      </c>
      <c r="K82">
        <v>5.65</v>
      </c>
      <c r="L82">
        <v>5.55</v>
      </c>
      <c r="M82">
        <v>5.85</v>
      </c>
      <c r="N82">
        <v>5.75</v>
      </c>
      <c r="O82">
        <v>6.1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</row>
    <row r="83" spans="5:65" hidden="1" x14ac:dyDescent="0.2">
      <c r="G83" t="s">
        <v>82</v>
      </c>
      <c r="H83">
        <v>4.95</v>
      </c>
      <c r="I83">
        <v>5.25</v>
      </c>
      <c r="J83">
        <v>5.2</v>
      </c>
      <c r="K83">
        <v>5.5</v>
      </c>
      <c r="L83">
        <v>5.4</v>
      </c>
      <c r="M83">
        <v>5.75</v>
      </c>
      <c r="N83">
        <v>5.6</v>
      </c>
      <c r="O83">
        <v>5.95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</row>
    <row r="84" spans="5:65" hidden="1" x14ac:dyDescent="0.2">
      <c r="G84" t="s">
        <v>45</v>
      </c>
      <c r="H84">
        <v>4.75</v>
      </c>
      <c r="I84">
        <v>4.75</v>
      </c>
      <c r="J84">
        <v>4.95</v>
      </c>
      <c r="K84">
        <v>5.3</v>
      </c>
      <c r="L84">
        <v>5.15</v>
      </c>
      <c r="M84">
        <v>5.45</v>
      </c>
      <c r="N84">
        <v>5.35</v>
      </c>
      <c r="O84">
        <v>5.65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</row>
    <row r="85" spans="5:65" hidden="1" x14ac:dyDescent="0.2">
      <c r="G85" t="s">
        <v>68</v>
      </c>
      <c r="H85">
        <v>4.55</v>
      </c>
      <c r="I85">
        <v>4.55</v>
      </c>
      <c r="J85">
        <v>4.75</v>
      </c>
      <c r="K85">
        <v>4.8499999999999996</v>
      </c>
      <c r="L85">
        <v>4.95</v>
      </c>
      <c r="M85">
        <v>5</v>
      </c>
      <c r="N85">
        <v>5.15</v>
      </c>
      <c r="O85">
        <v>5.15</v>
      </c>
      <c r="Q85" t="s">
        <v>68</v>
      </c>
      <c r="AA85" t="s">
        <v>68</v>
      </c>
      <c r="AB85">
        <v>5.2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</row>
    <row r="86" spans="5:65" hidden="1" x14ac:dyDescent="0.2">
      <c r="G86" t="s">
        <v>71</v>
      </c>
      <c r="H86" s="238">
        <v>220</v>
      </c>
      <c r="I86" s="238"/>
      <c r="J86" s="238">
        <v>243</v>
      </c>
      <c r="K86" s="238"/>
      <c r="L86" s="238">
        <v>266</v>
      </c>
      <c r="M86" s="238"/>
      <c r="N86" s="238">
        <v>289</v>
      </c>
      <c r="O86" s="238"/>
      <c r="R86" s="238">
        <v>179</v>
      </c>
      <c r="S86" s="238"/>
      <c r="T86" s="238">
        <v>229</v>
      </c>
      <c r="U86" s="238"/>
      <c r="V86" s="238">
        <v>252</v>
      </c>
      <c r="W86" s="238"/>
      <c r="X86" s="238">
        <v>275</v>
      </c>
      <c r="Y86" s="238"/>
      <c r="AB86" s="238">
        <v>260</v>
      </c>
      <c r="AC86" s="238"/>
      <c r="AD86" s="238">
        <v>280</v>
      </c>
      <c r="AE86" s="238"/>
      <c r="AF86" s="238">
        <v>303</v>
      </c>
      <c r="AG86" s="238"/>
      <c r="AH86" s="238">
        <v>326</v>
      </c>
      <c r="AI86" s="238"/>
      <c r="AL86" s="238">
        <v>232</v>
      </c>
      <c r="AM86" s="238"/>
      <c r="AN86" s="238">
        <v>273</v>
      </c>
      <c r="AO86" s="238"/>
      <c r="AP86" s="238">
        <v>296</v>
      </c>
      <c r="AQ86" s="238"/>
      <c r="AR86" s="238">
        <v>319</v>
      </c>
      <c r="AS86" s="238"/>
      <c r="AV86" s="238">
        <v>315</v>
      </c>
      <c r="AW86" s="238"/>
      <c r="AX86" s="238">
        <v>338</v>
      </c>
      <c r="AY86" s="238"/>
      <c r="AZ86" s="238">
        <v>361</v>
      </c>
      <c r="BA86" s="238"/>
      <c r="BB86" s="238">
        <v>384</v>
      </c>
      <c r="BC86" s="238"/>
      <c r="BF86" s="238">
        <v>322</v>
      </c>
      <c r="BG86" s="238"/>
      <c r="BH86" s="238">
        <v>345</v>
      </c>
      <c r="BI86" s="238"/>
      <c r="BJ86" s="238">
        <v>368</v>
      </c>
      <c r="BK86" s="238"/>
      <c r="BL86" s="238">
        <v>391</v>
      </c>
      <c r="BM86" s="238"/>
    </row>
    <row r="87" spans="5:65" hidden="1" x14ac:dyDescent="0.2">
      <c r="G87" t="s">
        <v>72</v>
      </c>
      <c r="H87" s="238">
        <v>66</v>
      </c>
      <c r="I87" s="238"/>
      <c r="J87" s="238">
        <v>76</v>
      </c>
      <c r="K87" s="238"/>
      <c r="L87" s="238">
        <v>86</v>
      </c>
      <c r="M87" s="238"/>
      <c r="N87" s="238">
        <v>96</v>
      </c>
      <c r="O87" s="238"/>
      <c r="R87" s="238">
        <v>61</v>
      </c>
      <c r="S87" s="238"/>
      <c r="T87" s="238">
        <v>72.5</v>
      </c>
      <c r="U87" s="238"/>
      <c r="V87" s="238">
        <v>82.5</v>
      </c>
      <c r="W87" s="238"/>
      <c r="X87" s="238">
        <v>92.5</v>
      </c>
      <c r="Y87" s="238"/>
      <c r="AB87" s="238">
        <v>79</v>
      </c>
      <c r="AC87" s="238"/>
      <c r="AD87" s="238">
        <v>81</v>
      </c>
      <c r="AE87" s="238"/>
      <c r="AF87" s="238">
        <v>91</v>
      </c>
      <c r="AG87" s="238"/>
      <c r="AH87" s="238">
        <v>101</v>
      </c>
      <c r="AI87" s="238"/>
      <c r="AL87" s="238">
        <v>74</v>
      </c>
      <c r="AM87" s="238"/>
      <c r="AN87" s="238">
        <v>78.5</v>
      </c>
      <c r="AO87" s="238"/>
      <c r="AP87" s="238">
        <v>86</v>
      </c>
      <c r="AQ87" s="238"/>
      <c r="AR87" s="238">
        <v>96</v>
      </c>
      <c r="AS87" s="238"/>
      <c r="AV87" s="238">
        <v>96.5</v>
      </c>
      <c r="AW87" s="238"/>
      <c r="AX87" s="238">
        <v>106.5</v>
      </c>
      <c r="AY87" s="238"/>
      <c r="AZ87" s="238">
        <v>116.5</v>
      </c>
      <c r="BA87" s="238"/>
      <c r="BB87" s="238">
        <v>126.5</v>
      </c>
      <c r="BC87" s="238"/>
      <c r="BF87" s="238">
        <v>93</v>
      </c>
      <c r="BG87" s="238"/>
      <c r="BH87" s="238">
        <v>103</v>
      </c>
      <c r="BI87" s="238"/>
      <c r="BJ87" s="238">
        <v>113</v>
      </c>
      <c r="BK87" s="238"/>
      <c r="BL87" s="238">
        <v>123</v>
      </c>
      <c r="BM87" s="238"/>
    </row>
    <row r="88" spans="5:65" hidden="1" x14ac:dyDescent="0.2">
      <c r="E88" t="s">
        <v>49</v>
      </c>
      <c r="G88" t="str">
        <f>+DIM!$AK$20&amp;"+"&amp;DIM!$S$14</f>
        <v>151+250</v>
      </c>
      <c r="H88" s="100">
        <f>+VLOOKUP($G$88,$G$62:$O$85,2,FALSE)</f>
        <v>5.9</v>
      </c>
      <c r="I88" s="100">
        <f>+VLOOKUP($G$88,$G$62:$O$85,3,FALSE)</f>
        <v>6.25</v>
      </c>
      <c r="J88" s="100">
        <f>+VLOOKUP($G$88,$G$62:$O$85,4,FALSE)</f>
        <v>6.1000000000000005</v>
      </c>
      <c r="K88" s="100">
        <f>+VLOOKUP($G$88,$G$62:$O$85,5,FALSE)</f>
        <v>6.5</v>
      </c>
      <c r="L88" s="100">
        <f>+VLOOKUP($G$88,$G$62:$O$85,6,FALSE)</f>
        <v>6.3</v>
      </c>
      <c r="M88" s="100">
        <f>+VLOOKUP($G$88,$G$62:$O$85,7,FALSE)</f>
        <v>6.75</v>
      </c>
      <c r="N88" s="100">
        <f>+VLOOKUP($G$88,$G$62:$O$85,8,FALSE)</f>
        <v>6.5</v>
      </c>
      <c r="O88" s="100">
        <f>+VLOOKUP($G$88,$G$62:$O$85,9,FALSE)</f>
        <v>7</v>
      </c>
      <c r="Q88" t="str">
        <f>+DIM!$AK$20&amp;"+"&amp;DIM!$S$14</f>
        <v>151+250</v>
      </c>
      <c r="R88" s="100">
        <f>+VLOOKUP($Q$88,$Q$62:$Y$85,2,FALSE)</f>
        <v>0</v>
      </c>
      <c r="S88" s="100">
        <f>+VLOOKUP($Q$88,$Q$62:$Y$85,3,FALSE)</f>
        <v>0</v>
      </c>
      <c r="T88" s="100">
        <f>+VLOOKUP($Q$88,$Q$62:$Y$85,4,FALSE)</f>
        <v>0</v>
      </c>
      <c r="U88" s="100">
        <f>+VLOOKUP($Q$88,$Q$62:$Y$85,5,FALSE)</f>
        <v>0</v>
      </c>
      <c r="V88" s="100">
        <f>+VLOOKUP($Q$88,$Q$62:$Y$85,6,FALSE)</f>
        <v>0</v>
      </c>
      <c r="W88" s="100">
        <f>+VLOOKUP($Q$88,$Q$62:$Y$85,7,FALSE)</f>
        <v>0</v>
      </c>
      <c r="X88" s="100">
        <f>+VLOOKUP($Q$88,$Q$62:$Y$85,8,FALSE)</f>
        <v>0</v>
      </c>
      <c r="Y88" s="100">
        <f>+VLOOKUP($Q$88,$Q$62:$Y$85,9,FALSE)</f>
        <v>0</v>
      </c>
      <c r="AA88" t="str">
        <f>+DIM!$AK$20&amp;"+"&amp;DIM!$S$14</f>
        <v>151+250</v>
      </c>
      <c r="AB88" s="100">
        <f>+VLOOKUP($AA$88,$AA$62:$AI$87,2,FALSE)</f>
        <v>6.75</v>
      </c>
      <c r="AC88" s="100">
        <f>+VLOOKUP($AA$88,$AA$62:$AI$87,3,FALSE)</f>
        <v>7.2</v>
      </c>
      <c r="AD88" s="100">
        <f>+VLOOKUP($AA$88,$AA$62:$AI$87,4,FALSE)</f>
        <v>7.2</v>
      </c>
      <c r="AE88" s="100">
        <f>+VLOOKUP($AA$88,$AA$62:$AI$87,5,FALSE)</f>
        <v>7.7</v>
      </c>
      <c r="AF88" s="100">
        <f>+VLOOKUP($AA$88,$AA$62:$AI$87,6,FALSE)</f>
        <v>7.3</v>
      </c>
      <c r="AG88" s="100">
        <f>+VLOOKUP($AA$88,$AA$62:$AI$87,7,FALSE)</f>
        <v>7.85</v>
      </c>
      <c r="AH88" s="100">
        <f>+VLOOKUP($AA$88,$AA$62:$AI$87,8,FALSE)</f>
        <v>7.5</v>
      </c>
      <c r="AI88" s="100">
        <f>+VLOOKUP($AA$88,$AA$62:$AI$87,9,FALSE)</f>
        <v>8.0500000000000007</v>
      </c>
      <c r="AK88" t="str">
        <f>+DIM!$AK$20&amp;"+"&amp;DIM!$S$14</f>
        <v>151+250</v>
      </c>
      <c r="AL88" s="100">
        <f>+VLOOKUP($AK$88,$AK$62:$AS$87,2,FALSE)</f>
        <v>0</v>
      </c>
      <c r="AM88" s="100">
        <f>+VLOOKUP($AK$88,$AK$62:$AS$87,3,FALSE)</f>
        <v>0</v>
      </c>
      <c r="AN88" s="100">
        <f>+VLOOKUP($AK$88,$AK$62:$AS$87,4,FALSE)</f>
        <v>0</v>
      </c>
      <c r="AO88" s="100">
        <f>+VLOOKUP($AK$88,$AK$62:$AS$87,5,FALSE)</f>
        <v>0</v>
      </c>
      <c r="AP88" s="100">
        <f>+VLOOKUP($AK$88,$AK$62:$AS$87,6,FALSE)</f>
        <v>0</v>
      </c>
      <c r="AQ88" s="100">
        <f>+VLOOKUP($AK$88,$AK$62:$AS$87,7,FALSE)</f>
        <v>0</v>
      </c>
      <c r="AR88" s="100">
        <f>+VLOOKUP($AK$88,$AK$62:$AS$87,8,FALSE)</f>
        <v>0</v>
      </c>
      <c r="AS88" s="100">
        <f>+VLOOKUP($AK$88,$AK$62:$AS$87,9,FALSE)</f>
        <v>0</v>
      </c>
      <c r="AU88" t="str">
        <f>+DIM!$AK$20&amp;"+"&amp;DIM!$S$14</f>
        <v>151+250</v>
      </c>
      <c r="AV88" s="100">
        <f>+VLOOKUP($AU$42,$AU$62:$BC$86,2,FALSE)</f>
        <v>8</v>
      </c>
      <c r="AW88" s="100">
        <f>+VLOOKUP($AU$42,$AU$62:$BC$86,3,FALSE)</f>
        <v>8.6</v>
      </c>
      <c r="AX88" s="100">
        <f>+VLOOKUP($AU$42,$AU$62:$BC$86,4,FALSE)</f>
        <v>8.15</v>
      </c>
      <c r="AY88" s="100">
        <f>+VLOOKUP($AU$42,$AU$62:$BC$86,5,FALSE)</f>
        <v>8.8000000000000007</v>
      </c>
      <c r="AZ88" s="100">
        <f>+VLOOKUP($AU$42,$AU$62:$BC$86,6,FALSE)</f>
        <v>8.35</v>
      </c>
      <c r="BA88" s="100">
        <f>+VLOOKUP($AU$42,$AU$62:$BC$86,7,FALSE)</f>
        <v>9</v>
      </c>
      <c r="BB88" s="100">
        <f>+VLOOKUP($AU$42,$AU$62:$BC$86,8,FALSE)</f>
        <v>8.5500000000000007</v>
      </c>
      <c r="BC88" s="100">
        <f>+VLOOKUP($AU$42,$AU$62:$BC$86,9,FALSE)</f>
        <v>9</v>
      </c>
      <c r="BE88" t="str">
        <f>+DIM!$AK$20&amp;"+"&amp;DIM!$S$14</f>
        <v>151+250</v>
      </c>
      <c r="BF88" s="100">
        <f>+VLOOKUP($BE$88,$BE$62:$BM$85,2,FALSE)</f>
        <v>0</v>
      </c>
      <c r="BG88" s="100">
        <f>+VLOOKUP($BE$88,$BE$62:$BM$85,3,FALSE)</f>
        <v>0</v>
      </c>
      <c r="BH88" s="100">
        <f>+VLOOKUP($BE$88,$BE$62:$BM$85,4,FALSE)</f>
        <v>0</v>
      </c>
      <c r="BI88" s="100">
        <f>+VLOOKUP($BE$88,$BE$62:$BM$85,5,FALSE)</f>
        <v>0</v>
      </c>
      <c r="BJ88" s="100">
        <f>+VLOOKUP($BE$88,$BE$62:$BM$85,6,FALSE)</f>
        <v>0</v>
      </c>
      <c r="BK88" s="100">
        <f>+VLOOKUP($BE$88,$BE$62:$BM$85,7,FALSE)</f>
        <v>0</v>
      </c>
      <c r="BL88" s="100">
        <f>+VLOOKUP($BE$88,$BE$62:$BM$85,8,FALSE)</f>
        <v>0</v>
      </c>
      <c r="BM88" s="100">
        <f>+VLOOKUP($BE$88,$BE$62:$BM$85,9,FALSE)</f>
        <v>0</v>
      </c>
    </row>
    <row r="89" spans="5:65" hidden="1" x14ac:dyDescent="0.2">
      <c r="F89" t="s">
        <v>47</v>
      </c>
      <c r="G89">
        <f>+DIM!AD62</f>
        <v>0</v>
      </c>
      <c r="H89" s="237">
        <f>+IF(DIM!$AD$15=$H$61,H88,I88)</f>
        <v>6.25</v>
      </c>
      <c r="I89" s="237"/>
      <c r="J89" s="237">
        <f>+IF(DIM!$AD$15=$H$61,J88,K88)</f>
        <v>6.5</v>
      </c>
      <c r="K89" s="237"/>
      <c r="L89" s="237">
        <f>+IF(DIM!$AD$15=$H$61,L88,M88)</f>
        <v>6.75</v>
      </c>
      <c r="M89" s="237"/>
      <c r="N89" s="237">
        <f>+IF(DIM!$AD$15=$H$61,N88,O88)</f>
        <v>7</v>
      </c>
      <c r="O89" s="237"/>
      <c r="Q89" t="str">
        <f>+DIM!AD15</f>
        <v>1C</v>
      </c>
      <c r="R89" s="237">
        <f>+IF(DIM!$AD$15=$H$61,R88,S88)</f>
        <v>0</v>
      </c>
      <c r="S89" s="237"/>
      <c r="T89" s="235">
        <f>+IF(DIM!$AD$15=ebsvs!$H$15,ebsvs!T88,ebsvs!U88)</f>
        <v>6.3</v>
      </c>
      <c r="U89" s="236"/>
      <c r="V89" s="235">
        <f>+IF(DIM!$AD$15=ebsvs!$H$15,ebsvs!V88,ebsvs!W88)</f>
        <v>6.15</v>
      </c>
      <c r="W89" s="236"/>
      <c r="X89" s="235">
        <f>+IF(DIM!$AD$15=ebsvs!$H$15,ebsvs!X88,ebsvs!Y88)</f>
        <v>5.95</v>
      </c>
      <c r="Y89" s="236"/>
      <c r="AA89" t="str">
        <f>+DIM!AD15</f>
        <v>1C</v>
      </c>
      <c r="AB89" s="237">
        <f>+IF(DIM!$AD$15=$AB$61,AB88,AC88)</f>
        <v>7.2</v>
      </c>
      <c r="AC89" s="237"/>
      <c r="AD89" s="237">
        <f>+IF(DIM!$AD$15=$AB$61,AD88,AE88)</f>
        <v>7.7</v>
      </c>
      <c r="AE89" s="237"/>
      <c r="AF89" s="237">
        <f>+IF(DIM!$AD$15=$AB$61,AF88,AG88)</f>
        <v>7.85</v>
      </c>
      <c r="AG89" s="237"/>
      <c r="AH89" s="237">
        <f>+IF(DIM!$AD$15=$AB$61,AH88,AI88)</f>
        <v>8.0500000000000007</v>
      </c>
      <c r="AI89" s="237"/>
      <c r="AK89" t="str">
        <f>+DIM!AD15</f>
        <v>1C</v>
      </c>
      <c r="AL89" s="235">
        <f>+IF(DIM!$AD$15=$AL$61,ebsvs!AL88,ebsvs!AM88)</f>
        <v>6.6</v>
      </c>
      <c r="AM89" s="236"/>
      <c r="AN89" s="235">
        <f>+IF(DIM!$AD$15=$AL$61,ebsvs!AN88,ebsvs!AO88)</f>
        <v>7.35</v>
      </c>
      <c r="AO89" s="236"/>
      <c r="AP89" s="235">
        <f>+IF(DIM!$AD$15=$AL$61,ebsvs!AP88,ebsvs!AQ88)</f>
        <v>7.45</v>
      </c>
      <c r="AQ89" s="236"/>
      <c r="AR89" s="235">
        <f>+IF(DIM!$AD$15=$AL$61,ebsvs!AR88,ebsvs!AS88)</f>
        <v>7.4</v>
      </c>
      <c r="AS89" s="236"/>
      <c r="AU89" t="str">
        <f>+AK89</f>
        <v>1C</v>
      </c>
      <c r="AV89" s="237">
        <f>+IF(DIM!$AD$15=$AV$61,AV88,AW88)</f>
        <v>8.6</v>
      </c>
      <c r="AW89" s="237"/>
      <c r="AX89" s="237">
        <f>+IF(DIM!$AD$15=$AV$61,AX88,AY88)</f>
        <v>8.8000000000000007</v>
      </c>
      <c r="AY89" s="237"/>
      <c r="AZ89" s="237">
        <f>+IF(DIM!$AD$15=$AV$61,AZ88,BA88)</f>
        <v>9</v>
      </c>
      <c r="BA89" s="237"/>
      <c r="BB89" s="237">
        <f>+IF(DIM!$AD$15=$AV$61,BB88,BC88)</f>
        <v>9</v>
      </c>
      <c r="BC89" s="237"/>
      <c r="BE89" t="str">
        <f>+AU89</f>
        <v>1C</v>
      </c>
      <c r="BF89" s="235">
        <f>+IF(DIM!$AD$15=ebsvs!$H$15,ebsvs!BF88,ebsvs!BG88)</f>
        <v>7.45</v>
      </c>
      <c r="BG89" s="236"/>
      <c r="BH89" s="235">
        <f>+IF(DIM!$AD$15=ebsvs!$H$15,ebsvs!BH88,ebsvs!BI88)</f>
        <v>7.25</v>
      </c>
      <c r="BI89" s="236"/>
      <c r="BJ89" s="235">
        <f>+IF(DIM!$AD$15=ebsvs!$H$15,ebsvs!BJ88,ebsvs!BK88)</f>
        <v>7.1</v>
      </c>
      <c r="BK89" s="236"/>
      <c r="BL89" s="235">
        <f>+IF(DIM!$AD$15=ebsvs!$H$15,ebsvs!BL88,ebsvs!BM88)</f>
        <v>6.9</v>
      </c>
      <c r="BM89" s="236"/>
    </row>
    <row r="90" spans="5:65" hidden="1" x14ac:dyDescent="0.2">
      <c r="F90" t="s">
        <v>48</v>
      </c>
      <c r="G90" s="100">
        <f>+DIM!S32</f>
        <v>5</v>
      </c>
      <c r="K90" s="102">
        <f>+HLOOKUP(G90,H60:O89,30,FALSE)</f>
        <v>6.25</v>
      </c>
      <c r="Q90" s="100">
        <f>+DIM!S32</f>
        <v>5</v>
      </c>
      <c r="U90" s="102">
        <f>+HLOOKUP(Q90,R60:Y89,30,FALSE)</f>
        <v>0</v>
      </c>
      <c r="AA90" s="100">
        <f>+DIM!S32</f>
        <v>5</v>
      </c>
      <c r="AE90" s="102">
        <f>+HLOOKUP(AA90,AB60:AI89,30,FALSE)</f>
        <v>7.2</v>
      </c>
      <c r="AK90" s="100">
        <f>+DIM!S32</f>
        <v>5</v>
      </c>
      <c r="AO90" s="102">
        <f>+HLOOKUP(AK90,AL60:AS89,30,FALSE)</f>
        <v>6.6</v>
      </c>
      <c r="AU90" s="100">
        <f>+AK90</f>
        <v>5</v>
      </c>
      <c r="AY90" s="102">
        <f>+HLOOKUP(AU90,AV60:BC89,30,FALSE)</f>
        <v>8.6</v>
      </c>
      <c r="BE90" s="101">
        <f>+AU90</f>
        <v>5</v>
      </c>
      <c r="BI90" s="102">
        <f>+HLOOKUP(BE90,BF60:BM89,30,FALSE)</f>
        <v>7.45</v>
      </c>
    </row>
    <row r="91" spans="5:65" hidden="1" x14ac:dyDescent="0.2">
      <c r="E91">
        <f>+DIM!Q32</f>
        <v>12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5:65" hidden="1" x14ac:dyDescent="0.2">
      <c r="F92" t="s">
        <v>66</v>
      </c>
      <c r="G92">
        <f>+DIM!S66</f>
        <v>0</v>
      </c>
      <c r="K92" s="98">
        <f>+HLOOKUP(G90,H60:O86,27,FALSE)</f>
        <v>220</v>
      </c>
      <c r="U92" s="98">
        <f>+HLOOKUP(Q90,R60:Y86,27,FALSE)</f>
        <v>179</v>
      </c>
      <c r="AE92" s="98">
        <f>+HLOOKUP(AA90,AB60:AI86,27,FALSE)</f>
        <v>260</v>
      </c>
      <c r="AO92" s="98">
        <f>+HLOOKUP(AK90,AL60:AS86,27,FALSE)</f>
        <v>232</v>
      </c>
      <c r="AY92" s="98">
        <f>+HLOOKUP(AU90,AV60:BC86,27,FALSE)</f>
        <v>315</v>
      </c>
      <c r="BI92" s="98">
        <f>+HLOOKUP(BE90,BF60:BM86,27,FALSE)</f>
        <v>322</v>
      </c>
    </row>
    <row r="93" spans="5:65" hidden="1" x14ac:dyDescent="0.2">
      <c r="F93">
        <v>12</v>
      </c>
      <c r="G93">
        <f>+K90</f>
        <v>6.25</v>
      </c>
      <c r="H93">
        <f>+K92</f>
        <v>220</v>
      </c>
      <c r="I93">
        <f>+K93</f>
        <v>66</v>
      </c>
      <c r="J93">
        <f>+K94</f>
        <v>25.78</v>
      </c>
      <c r="K93" s="98">
        <f>+HLOOKUP(G90,H60:O87,28,FALSE)</f>
        <v>66</v>
      </c>
      <c r="U93" s="98">
        <f>+HLOOKUP(Q90,R60:Y87,28,FALSE)</f>
        <v>61</v>
      </c>
      <c r="AE93" s="98">
        <f>+HLOOKUP(AA90,AB60:AI87,28,FALSE)</f>
        <v>79</v>
      </c>
      <c r="AO93" s="98">
        <f>+HLOOKUP(AK90,AL60:AS87,28,FALSE)</f>
        <v>74</v>
      </c>
      <c r="AY93" s="98">
        <f>+HLOOKUP(AU90,AV60:BC87,28,FALSE)</f>
        <v>96.5</v>
      </c>
      <c r="BI93" s="98">
        <f>+HLOOKUP(BE90,BF60:BM87,28,FALSE)</f>
        <v>93</v>
      </c>
    </row>
    <row r="94" spans="5:65" hidden="1" x14ac:dyDescent="0.2">
      <c r="F94">
        <v>15</v>
      </c>
      <c r="G94">
        <f>+AE90</f>
        <v>7.2</v>
      </c>
      <c r="H94">
        <f>+AE92</f>
        <v>260</v>
      </c>
      <c r="I94">
        <f>+AE93</f>
        <v>79</v>
      </c>
      <c r="J94">
        <f>+AE94</f>
        <v>30.76</v>
      </c>
      <c r="K94" s="98">
        <f>+HLOOKUP(K91,H101:O103,3,FALSE)</f>
        <v>25.78</v>
      </c>
      <c r="U94" s="98">
        <f>+HLOOKUP(U91,R101:Y103,3,FALSE)</f>
        <v>25.78</v>
      </c>
      <c r="AE94" s="98">
        <f>+HLOOKUP(AE91,AB101:AI103,3,FALSE)</f>
        <v>30.76</v>
      </c>
      <c r="AO94" s="98">
        <f>+HLOOKUP(AO91,AL101:AS103,3,FALSE)</f>
        <v>30.76</v>
      </c>
      <c r="AY94" s="98">
        <f>+HLOOKUP(AY91,AV101:BC103,3,FALSE)</f>
        <v>34.700000000000003</v>
      </c>
      <c r="BI94" s="98">
        <f>+HLOOKUP(BI91,BF101:BM103,3,FALSE)</f>
        <v>34.700000000000003</v>
      </c>
    </row>
    <row r="95" spans="5:65" ht="19.5" hidden="1" x14ac:dyDescent="0.35">
      <c r="F95">
        <v>20</v>
      </c>
      <c r="G95">
        <f>+AY90</f>
        <v>8.6</v>
      </c>
      <c r="H95">
        <f>+AY92</f>
        <v>315</v>
      </c>
      <c r="I95">
        <f>+AY93</f>
        <v>96.5</v>
      </c>
      <c r="J95">
        <f>+AY94</f>
        <v>34.700000000000003</v>
      </c>
      <c r="K95" s="97">
        <v>12</v>
      </c>
      <c r="L95" s="97" t="s">
        <v>87</v>
      </c>
      <c r="Q95" s="100">
        <v>6.3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  <c r="AY95" s="97">
        <v>20</v>
      </c>
      <c r="AZ95" s="97" t="s">
        <v>87</v>
      </c>
      <c r="BI95" s="97">
        <v>20</v>
      </c>
      <c r="BJ95" s="97" t="s">
        <v>87</v>
      </c>
    </row>
    <row r="96" spans="5:65" hidden="1" x14ac:dyDescent="0.2">
      <c r="E96" s="98" t="s">
        <v>301</v>
      </c>
      <c r="F96" t="s">
        <v>64</v>
      </c>
      <c r="G96">
        <f>IF($E$91&gt;20,"--",+VLOOKUP(DIM!Q32,F93:I95,2,FALSE))</f>
        <v>6.25</v>
      </c>
      <c r="K96" s="98" t="s">
        <v>78</v>
      </c>
      <c r="U96" s="98" t="s">
        <v>83</v>
      </c>
      <c r="AE96" s="98" t="s">
        <v>84</v>
      </c>
      <c r="AO96" s="98" t="s">
        <v>79</v>
      </c>
      <c r="AY96" s="98" t="s">
        <v>84</v>
      </c>
      <c r="BI96" s="98" t="s">
        <v>79</v>
      </c>
    </row>
    <row r="97" spans="5:65" hidden="1" x14ac:dyDescent="0.2">
      <c r="E97" s="98" t="s">
        <v>129</v>
      </c>
      <c r="F97" t="s">
        <v>75</v>
      </c>
      <c r="G97">
        <f>IF($E$91&gt;20,0,+VLOOKUP(DIM!Q32,F93:I95,3,FALSE))</f>
        <v>220</v>
      </c>
      <c r="P97" s="100"/>
    </row>
    <row r="98" spans="5:65" hidden="1" x14ac:dyDescent="0.2">
      <c r="F98" t="s">
        <v>72</v>
      </c>
      <c r="G98">
        <f>IF($E$91&gt;20,0,+VLOOKUP(DIM!Q32,F93:I95,4,FALSE))</f>
        <v>66</v>
      </c>
    </row>
    <row r="99" spans="5:65" hidden="1" x14ac:dyDescent="0.2">
      <c r="F99" t="s">
        <v>274</v>
      </c>
      <c r="G99">
        <f>IF($E$91&gt;20,0,+VLOOKUP(DIM!Q32,F93:J95,5,FALSE))</f>
        <v>25.78</v>
      </c>
    </row>
    <row r="100" spans="5:65" hidden="1" x14ac:dyDescent="0.2"/>
    <row r="101" spans="5:65" hidden="1" x14ac:dyDescent="0.2">
      <c r="G101" s="98" t="s">
        <v>129</v>
      </c>
      <c r="H101" s="238" t="s">
        <v>302</v>
      </c>
      <c r="I101" s="238"/>
      <c r="J101" s="238" t="s">
        <v>303</v>
      </c>
      <c r="K101" s="238"/>
      <c r="L101" s="238" t="s">
        <v>304</v>
      </c>
      <c r="M101" s="238"/>
      <c r="N101" s="238" t="s">
        <v>305</v>
      </c>
      <c r="O101" s="238"/>
      <c r="Q101" t="s">
        <v>129</v>
      </c>
      <c r="R101" s="238" t="s">
        <v>302</v>
      </c>
      <c r="S101" s="238"/>
      <c r="T101" s="238" t="s">
        <v>303</v>
      </c>
      <c r="U101" s="238"/>
      <c r="V101" s="238" t="s">
        <v>304</v>
      </c>
      <c r="W101" s="238"/>
      <c r="X101" s="238" t="s">
        <v>305</v>
      </c>
      <c r="Y101" s="238"/>
      <c r="AA101" s="98" t="s">
        <v>129</v>
      </c>
      <c r="AB101" s="238" t="s">
        <v>306</v>
      </c>
      <c r="AC101" s="238"/>
      <c r="AD101" s="238" t="s">
        <v>307</v>
      </c>
      <c r="AE101" s="238"/>
      <c r="AF101" s="238" t="s">
        <v>308</v>
      </c>
      <c r="AG101" s="238"/>
      <c r="AH101" s="238" t="s">
        <v>309</v>
      </c>
      <c r="AI101" s="238"/>
      <c r="AK101" t="s">
        <v>129</v>
      </c>
      <c r="AL101" s="238" t="s">
        <v>306</v>
      </c>
      <c r="AM101" s="238"/>
      <c r="AN101" s="238" t="s">
        <v>307</v>
      </c>
      <c r="AO101" s="238"/>
      <c r="AP101" s="238" t="s">
        <v>308</v>
      </c>
      <c r="AQ101" s="238"/>
      <c r="AR101" s="238" t="s">
        <v>309</v>
      </c>
      <c r="AS101" s="238"/>
      <c r="AU101" t="s">
        <v>129</v>
      </c>
      <c r="AV101" s="238" t="s">
        <v>310</v>
      </c>
      <c r="AW101" s="238"/>
      <c r="AX101" s="238" t="s">
        <v>311</v>
      </c>
      <c r="AY101" s="238"/>
      <c r="AZ101" s="238" t="s">
        <v>312</v>
      </c>
      <c r="BA101" s="238"/>
      <c r="BB101" s="238" t="s">
        <v>313</v>
      </c>
      <c r="BC101" s="238"/>
      <c r="BE101" t="s">
        <v>129</v>
      </c>
      <c r="BF101" s="238" t="s">
        <v>310</v>
      </c>
      <c r="BG101" s="238"/>
      <c r="BH101" s="238" t="s">
        <v>311</v>
      </c>
      <c r="BI101" s="238"/>
      <c r="BJ101" s="238" t="s">
        <v>312</v>
      </c>
      <c r="BK101" s="238"/>
      <c r="BL101" s="238" t="s">
        <v>313</v>
      </c>
      <c r="BM101" s="238"/>
    </row>
    <row r="102" spans="5:65" hidden="1" x14ac:dyDescent="0.2">
      <c r="F102" s="100">
        <f>+DIM!S10-0.01</f>
        <v>3.99</v>
      </c>
      <c r="H102" s="238">
        <f>+IF(H89&gt;$F$102,1,0)</f>
        <v>1</v>
      </c>
      <c r="I102" s="238"/>
      <c r="J102" s="238">
        <f t="shared" ref="J102" si="6">+IF(J89&gt;$F$102,1,0)</f>
        <v>1</v>
      </c>
      <c r="K102" s="238"/>
      <c r="L102" s="238">
        <f t="shared" ref="L102" si="7">+IF(L89&gt;$F$102,1,0)</f>
        <v>1</v>
      </c>
      <c r="M102" s="238"/>
      <c r="N102" s="238">
        <f t="shared" ref="N102" si="8">+IF(N89&gt;$F$102,1,0)</f>
        <v>1</v>
      </c>
      <c r="O102" s="238"/>
      <c r="R102" s="238">
        <f t="shared" ref="R102:X102" si="9">+IF(R89&gt;$F$102,1,0)</f>
        <v>0</v>
      </c>
      <c r="S102" s="238"/>
      <c r="T102" s="238">
        <f t="shared" si="9"/>
        <v>1</v>
      </c>
      <c r="U102" s="238"/>
      <c r="V102" s="238">
        <f t="shared" si="9"/>
        <v>1</v>
      </c>
      <c r="W102" s="238"/>
      <c r="X102" s="238">
        <f t="shared" si="9"/>
        <v>1</v>
      </c>
      <c r="Y102" s="238"/>
      <c r="AB102" s="238">
        <f t="shared" ref="AB102:AH102" si="10">+IF(AB89&gt;$F$102,1,0)</f>
        <v>1</v>
      </c>
      <c r="AC102" s="238"/>
      <c r="AD102" s="238">
        <f t="shared" si="10"/>
        <v>1</v>
      </c>
      <c r="AE102" s="238"/>
      <c r="AF102" s="238">
        <f t="shared" si="10"/>
        <v>1</v>
      </c>
      <c r="AG102" s="238"/>
      <c r="AH102" s="238">
        <f t="shared" si="10"/>
        <v>1</v>
      </c>
      <c r="AI102" s="238"/>
      <c r="AL102" s="238">
        <f t="shared" ref="AL102:AR102" si="11">+IF(AL89&gt;$F$102,1,0)</f>
        <v>1</v>
      </c>
      <c r="AM102" s="238"/>
      <c r="AN102" s="238">
        <f t="shared" si="11"/>
        <v>1</v>
      </c>
      <c r="AO102" s="238"/>
      <c r="AP102" s="238">
        <f t="shared" si="11"/>
        <v>1</v>
      </c>
      <c r="AQ102" s="238"/>
      <c r="AR102" s="238">
        <f t="shared" si="11"/>
        <v>1</v>
      </c>
      <c r="AS102" s="238"/>
      <c r="AV102" s="238">
        <f t="shared" ref="AV102:BB102" si="12">+IF(AV89&gt;$F$102,1,0)</f>
        <v>1</v>
      </c>
      <c r="AW102" s="238"/>
      <c r="AX102" s="238">
        <f t="shared" si="12"/>
        <v>1</v>
      </c>
      <c r="AY102" s="238"/>
      <c r="AZ102" s="238">
        <f t="shared" si="12"/>
        <v>1</v>
      </c>
      <c r="BA102" s="238"/>
      <c r="BB102" s="238">
        <f t="shared" si="12"/>
        <v>1</v>
      </c>
      <c r="BC102" s="238"/>
      <c r="BF102" s="238">
        <f t="shared" ref="BF102:BL102" si="13">+IF(BF89&gt;$F$102,1,0)</f>
        <v>1</v>
      </c>
      <c r="BG102" s="238"/>
      <c r="BH102" s="238">
        <f t="shared" si="13"/>
        <v>1</v>
      </c>
      <c r="BI102" s="238"/>
      <c r="BJ102" s="238">
        <f t="shared" si="13"/>
        <v>1</v>
      </c>
      <c r="BK102" s="238"/>
      <c r="BL102" s="238">
        <f t="shared" si="13"/>
        <v>1</v>
      </c>
      <c r="BM102" s="238"/>
    </row>
    <row r="103" spans="5:65" hidden="1" x14ac:dyDescent="0.2">
      <c r="F103" s="100"/>
      <c r="H103">
        <v>25.78</v>
      </c>
      <c r="J103">
        <f>1.97+H103</f>
        <v>27.75</v>
      </c>
      <c r="L103">
        <f>3.94+H103</f>
        <v>29.720000000000002</v>
      </c>
      <c r="N103">
        <f>5.91+H103</f>
        <v>31.69</v>
      </c>
      <c r="O103" s="49"/>
      <c r="R103">
        <v>25.78</v>
      </c>
      <c r="T103">
        <f>1.97+R103</f>
        <v>27.75</v>
      </c>
      <c r="V103">
        <f>3.94+R103</f>
        <v>29.720000000000002</v>
      </c>
      <c r="X103">
        <f>5.91+R103</f>
        <v>31.69</v>
      </c>
      <c r="Y103" s="49"/>
      <c r="AB103">
        <v>30.76</v>
      </c>
      <c r="AD103">
        <f>1.97+AB103</f>
        <v>32.730000000000004</v>
      </c>
      <c r="AF103">
        <f>3.94+AB103</f>
        <v>34.700000000000003</v>
      </c>
      <c r="AH103">
        <f>5.91+AB103</f>
        <v>36.67</v>
      </c>
      <c r="AI103" s="49"/>
      <c r="AL103">
        <v>30.76</v>
      </c>
      <c r="AN103">
        <f>1.97+AL103</f>
        <v>32.730000000000004</v>
      </c>
      <c r="AP103">
        <f>3.94+AL103</f>
        <v>34.700000000000003</v>
      </c>
      <c r="AR103">
        <f>5.91+AL103</f>
        <v>36.67</v>
      </c>
      <c r="AV103">
        <v>34.700000000000003</v>
      </c>
      <c r="AX103">
        <f>1.97+AV103</f>
        <v>36.67</v>
      </c>
      <c r="AZ103">
        <f>3.94+AV103</f>
        <v>38.64</v>
      </c>
      <c r="BB103">
        <f>5.91+AV103</f>
        <v>40.61</v>
      </c>
      <c r="BF103">
        <v>34.700000000000003</v>
      </c>
      <c r="BH103">
        <f>1.97+BF103</f>
        <v>36.67</v>
      </c>
      <c r="BJ103">
        <f>3.94+BF103</f>
        <v>38.64</v>
      </c>
      <c r="BL103">
        <f>5.91+BF103</f>
        <v>40.61</v>
      </c>
      <c r="BM103" s="49"/>
    </row>
    <row r="104" spans="5:65" hidden="1" x14ac:dyDescent="0.2">
      <c r="F104" s="100"/>
      <c r="H104" s="49"/>
      <c r="J104" t="s">
        <v>315</v>
      </c>
      <c r="L104" t="s">
        <v>129</v>
      </c>
      <c r="T104" t="s">
        <v>316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5:65" hidden="1" x14ac:dyDescent="0.2">
      <c r="F105" s="100"/>
      <c r="H105" s="49"/>
      <c r="K105" s="112" t="str">
        <f>+IF(H102=1,H101,IF(J102=1,J101,IF(L102=1,L101,IF(N102=1,N101,0))))</f>
        <v>12+5 JUM</v>
      </c>
      <c r="L105" s="112" t="str">
        <f>+AE105</f>
        <v>15+5 JUM</v>
      </c>
      <c r="M105" s="112" t="str">
        <f>+AY105</f>
        <v>20+5 JUM</v>
      </c>
      <c r="U105" t="str">
        <f>+IF(R102=1,R101,IF(T102=1,T101,IF(V102=1,V101,IF(X102=1,X101,0))))</f>
        <v>12+6 JUM</v>
      </c>
      <c r="V105" t="str">
        <f>+AO105</f>
        <v>15+5 JUM</v>
      </c>
      <c r="W105" t="str">
        <f>+AY105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5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12+6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5:65" hidden="1" x14ac:dyDescent="0.2">
      <c r="F107" s="100"/>
      <c r="H107" s="49"/>
      <c r="I107" t="s">
        <v>75</v>
      </c>
      <c r="J107" s="98">
        <f>+IF(K105&gt;0,K107,IF(L105&gt;0,L107,IF(M105&gt;0,M107,0)))</f>
        <v>220</v>
      </c>
      <c r="K107">
        <f>+HLOOKUP(J106,H59:O88,28,FALSE)</f>
        <v>220</v>
      </c>
      <c r="L107">
        <f>+HLOOKUP(L105,AB59:AI88,28,FALSE)</f>
        <v>260</v>
      </c>
      <c r="M107">
        <f>+HLOOKUP(M105,AV59:BC88,28,FALSE)</f>
        <v>315</v>
      </c>
      <c r="T107" s="98">
        <f>+IF(U105&gt;0,U107,IF(V105&gt;0,V107,IF(W105&gt;0,W107,0)))</f>
        <v>229</v>
      </c>
      <c r="U107">
        <f>+HLOOKUP(U105,R59:Y88,28,FALSE)</f>
        <v>229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5:65" hidden="1" x14ac:dyDescent="0.2">
      <c r="F108" s="98" t="s">
        <v>314</v>
      </c>
      <c r="H108" s="49"/>
      <c r="I108" t="s">
        <v>72</v>
      </c>
      <c r="J108" s="98">
        <f>+IF(K105&gt;0,K108,IF(L105&gt;0,L108,IF(M105&gt;0,M108,0)))</f>
        <v>66</v>
      </c>
      <c r="K108">
        <f>+HLOOKUP(J106,H59:O88,29,FALSE)</f>
        <v>66</v>
      </c>
      <c r="L108">
        <f>+HLOOKUP(L105,AB59:AI88,29,FALSE)</f>
        <v>79</v>
      </c>
      <c r="M108">
        <f>+HLOOKUP(M105,AV59:BC88,29,FALSE)</f>
        <v>96.5</v>
      </c>
      <c r="T108" s="98">
        <f>+IF(U105&gt;0,U108,IF(V105&gt;0,V108,IF(W105&gt;0,W108,0)))</f>
        <v>72.5</v>
      </c>
      <c r="U108">
        <f>+HLOOKUP(U105,R59:Y88,29,FALSE)</f>
        <v>72.5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5:65" hidden="1" x14ac:dyDescent="0.2">
      <c r="F109" s="100"/>
      <c r="H109" s="49"/>
      <c r="I109" s="49" t="s">
        <v>167</v>
      </c>
      <c r="J109" s="98">
        <f>+IF(K105&gt;0,K109,IF(L105&gt;0,L109,IF(M105&gt;0,M109,0)))</f>
        <v>25.78</v>
      </c>
      <c r="K109">
        <f>+HLOOKUP(K105,H101:O103,3,FALSE)</f>
        <v>25.78</v>
      </c>
      <c r="L109">
        <f>+HLOOKUP(L105,AB101:AI103,3,FALSE)</f>
        <v>30.76</v>
      </c>
      <c r="M109">
        <f>+HLOOKUP(M105,AV101:BC103,3,FALSE)</f>
        <v>34.700000000000003</v>
      </c>
      <c r="N109" s="49"/>
      <c r="O109" s="49"/>
      <c r="R109" s="49"/>
      <c r="S109" s="49"/>
      <c r="T109" s="98">
        <f>+IF(U105&gt;0,U109,IF(V105&gt;0,V109,IF(W105&gt;0,W109,0)))</f>
        <v>27.75</v>
      </c>
      <c r="U109">
        <f>+HLOOKUP(U105,R101:Y103,3,FALSE)</f>
        <v>27.75</v>
      </c>
      <c r="V109">
        <f>+HLOOKUP(V105,AL101:AS103,3,FALSE)</f>
        <v>30.76</v>
      </c>
      <c r="W109">
        <f>+HLOOKUP(W105,BF101:BM103,3,FALSE)</f>
        <v>34.700000000000003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5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5:65" hidden="1" x14ac:dyDescent="0.2">
      <c r="J111" s="98"/>
      <c r="T111" s="98"/>
    </row>
    <row r="112" spans="5:65" hidden="1" x14ac:dyDescent="0.2">
      <c r="J112" s="98"/>
      <c r="T112" s="98"/>
    </row>
    <row r="113" spans="6:65" hidden="1" x14ac:dyDescent="0.2">
      <c r="G113" s="98" t="s">
        <v>88</v>
      </c>
      <c r="H113" s="238" t="s">
        <v>111</v>
      </c>
      <c r="I113" s="238"/>
      <c r="J113" s="238" t="s">
        <v>112</v>
      </c>
      <c r="K113" s="238"/>
      <c r="L113" s="238" t="s">
        <v>113</v>
      </c>
      <c r="M113" s="238"/>
      <c r="N113" s="238" t="s">
        <v>114</v>
      </c>
      <c r="O113" s="238"/>
      <c r="Q113" t="s">
        <v>88</v>
      </c>
      <c r="R113" s="238" t="s">
        <v>111</v>
      </c>
      <c r="S113" s="238"/>
      <c r="T113" s="238" t="s">
        <v>112</v>
      </c>
      <c r="U113" s="238"/>
      <c r="V113" s="238" t="s">
        <v>113</v>
      </c>
      <c r="W113" s="238"/>
      <c r="X113" s="238" t="s">
        <v>114</v>
      </c>
      <c r="Y113" s="238"/>
      <c r="AA113" s="98" t="s">
        <v>88</v>
      </c>
      <c r="AB113" s="238" t="s">
        <v>115</v>
      </c>
      <c r="AC113" s="238"/>
      <c r="AD113" s="238" t="s">
        <v>116</v>
      </c>
      <c r="AE113" s="238"/>
      <c r="AF113" s="238" t="s">
        <v>117</v>
      </c>
      <c r="AG113" s="238"/>
      <c r="AH113" s="238" t="s">
        <v>118</v>
      </c>
      <c r="AI113" s="238"/>
      <c r="AK113" t="s">
        <v>88</v>
      </c>
      <c r="AL113" s="238" t="s">
        <v>115</v>
      </c>
      <c r="AM113" s="238"/>
      <c r="AN113" s="238" t="s">
        <v>116</v>
      </c>
      <c r="AO113" s="238"/>
      <c r="AP113" s="238" t="s">
        <v>117</v>
      </c>
      <c r="AQ113" s="238"/>
      <c r="AR113" s="238" t="s">
        <v>118</v>
      </c>
      <c r="AS113" s="238"/>
      <c r="AU113" t="s">
        <v>88</v>
      </c>
      <c r="AV113" s="238" t="s">
        <v>119</v>
      </c>
      <c r="AW113" s="238"/>
      <c r="AX113" s="238" t="s">
        <v>120</v>
      </c>
      <c r="AY113" s="238"/>
      <c r="AZ113" s="238" t="s">
        <v>121</v>
      </c>
      <c r="BA113" s="238"/>
      <c r="BB113" s="238" t="s">
        <v>122</v>
      </c>
      <c r="BC113" s="238"/>
      <c r="BE113" t="s">
        <v>88</v>
      </c>
      <c r="BF113" s="238" t="s">
        <v>119</v>
      </c>
      <c r="BG113" s="238"/>
      <c r="BH113" s="238" t="s">
        <v>120</v>
      </c>
      <c r="BI113" s="238"/>
      <c r="BJ113" s="238" t="s">
        <v>121</v>
      </c>
      <c r="BK113" s="238"/>
      <c r="BL113" s="238" t="s">
        <v>122</v>
      </c>
      <c r="BM113" s="238"/>
    </row>
    <row r="114" spans="6:65" hidden="1" x14ac:dyDescent="0.2">
      <c r="F114" s="100"/>
      <c r="H114" s="238">
        <f>+IF(H43&gt;$F$102,1,0)</f>
        <v>1</v>
      </c>
      <c r="I114" s="238"/>
      <c r="J114" s="238">
        <f t="shared" ref="J114" si="14">+IF(J43&gt;$F$102,1,0)</f>
        <v>1</v>
      </c>
      <c r="K114" s="238"/>
      <c r="L114" s="238">
        <f t="shared" ref="L114" si="15">+IF(L43&gt;$F$102,1,0)</f>
        <v>1</v>
      </c>
      <c r="M114" s="238"/>
      <c r="N114" s="238">
        <f t="shared" ref="N114" si="16">+IF(N43&gt;$F$102,1,0)</f>
        <v>1</v>
      </c>
      <c r="O114" s="238"/>
      <c r="R114" s="238">
        <f>+IF(R43&gt;$F$102,1,0)</f>
        <v>1</v>
      </c>
      <c r="S114" s="238"/>
      <c r="T114" s="238">
        <f t="shared" ref="T114" si="17">+IF(T43&gt;$F$102,1,0)</f>
        <v>1</v>
      </c>
      <c r="U114" s="238"/>
      <c r="V114" s="238">
        <f t="shared" ref="V114" si="18">+IF(V43&gt;$F$102,1,0)</f>
        <v>1</v>
      </c>
      <c r="W114" s="238"/>
      <c r="X114" s="238">
        <f t="shared" ref="X114" si="19">+IF(X43&gt;$F$102,1,0)</f>
        <v>1</v>
      </c>
      <c r="Y114" s="238"/>
      <c r="AB114" s="238">
        <f>+IF(AB43&gt;$F$102,1,0)</f>
        <v>1</v>
      </c>
      <c r="AC114" s="238"/>
      <c r="AD114" s="238">
        <f t="shared" ref="AD114" si="20">+IF(AD43&gt;$F$102,1,0)</f>
        <v>1</v>
      </c>
      <c r="AE114" s="238"/>
      <c r="AF114" s="238">
        <f t="shared" ref="AF114" si="21">+IF(AF43&gt;$F$102,1,0)</f>
        <v>1</v>
      </c>
      <c r="AG114" s="238"/>
      <c r="AH114" s="238">
        <f t="shared" ref="AH114" si="22">+IF(AH43&gt;$F$102,1,0)</f>
        <v>1</v>
      </c>
      <c r="AI114" s="238"/>
      <c r="AL114" s="238">
        <f>+IF(AL43&gt;$F$102,1,0)</f>
        <v>1</v>
      </c>
      <c r="AM114" s="238"/>
      <c r="AN114" s="238">
        <f t="shared" ref="AN114" si="23">+IF(AN43&gt;$F$102,1,0)</f>
        <v>1</v>
      </c>
      <c r="AO114" s="238"/>
      <c r="AP114" s="238">
        <f t="shared" ref="AP114" si="24">+IF(AP43&gt;$F$102,1,0)</f>
        <v>1</v>
      </c>
      <c r="AQ114" s="238"/>
      <c r="AR114" s="238">
        <f t="shared" ref="AR114" si="25">+IF(AR43&gt;$F$102,1,0)</f>
        <v>1</v>
      </c>
      <c r="AS114" s="238"/>
      <c r="AV114" s="238">
        <f>+IF(AV43&gt;$F$102,1,0)</f>
        <v>1</v>
      </c>
      <c r="AW114" s="238"/>
      <c r="AX114" s="238">
        <f t="shared" ref="AX114" si="26">+IF(AX43&gt;$F$102,1,0)</f>
        <v>1</v>
      </c>
      <c r="AY114" s="238"/>
      <c r="AZ114" s="238">
        <f t="shared" ref="AZ114" si="27">+IF(AZ43&gt;$F$102,1,0)</f>
        <v>1</v>
      </c>
      <c r="BA114" s="238"/>
      <c r="BB114" s="238">
        <f t="shared" ref="BB114" si="28">+IF(BB43&gt;$F$102,1,0)</f>
        <v>1</v>
      </c>
      <c r="BC114" s="238"/>
      <c r="BF114" s="238">
        <f>+IF(BF43&gt;$F$102,1,0)</f>
        <v>1</v>
      </c>
      <c r="BG114" s="238"/>
      <c r="BH114" s="238">
        <f t="shared" ref="BH114" si="29">+IF(BH43&gt;$F$102,1,0)</f>
        <v>1</v>
      </c>
      <c r="BI114" s="238"/>
      <c r="BJ114" s="238">
        <f t="shared" ref="BJ114" si="30">+IF(BJ43&gt;$F$102,1,0)</f>
        <v>1</v>
      </c>
      <c r="BK114" s="238"/>
      <c r="BL114" s="238">
        <f t="shared" ref="BL114" si="31">+IF(BL43&gt;$F$102,1,0)</f>
        <v>1</v>
      </c>
      <c r="BM114" s="238"/>
    </row>
    <row r="115" spans="6:65" hidden="1" x14ac:dyDescent="0.2">
      <c r="H115">
        <v>23.03</v>
      </c>
      <c r="J115">
        <f>1.97+H115</f>
        <v>25</v>
      </c>
      <c r="L115">
        <f>3.94+H115</f>
        <v>26.970000000000002</v>
      </c>
      <c r="N115">
        <f>5.91+H115</f>
        <v>28.94</v>
      </c>
      <c r="R115">
        <v>22.49</v>
      </c>
      <c r="T115">
        <f>1.97+R115</f>
        <v>24.459999999999997</v>
      </c>
      <c r="V115">
        <f>3.94+R115</f>
        <v>26.43</v>
      </c>
      <c r="X115">
        <f>5.91+R115</f>
        <v>28.4</v>
      </c>
      <c r="AB115">
        <v>27.31</v>
      </c>
      <c r="AD115">
        <f>1.97+AB115</f>
        <v>29.279999999999998</v>
      </c>
      <c r="AF115">
        <f>3.94+AB115</f>
        <v>31.25</v>
      </c>
      <c r="AH115">
        <f>5.91+AB115</f>
        <v>33.22</v>
      </c>
      <c r="AL115">
        <v>27.31</v>
      </c>
      <c r="AN115">
        <f>1.97+AL115</f>
        <v>29.279999999999998</v>
      </c>
      <c r="AP115">
        <f>3.94+AL115</f>
        <v>31.25</v>
      </c>
      <c r="AR115">
        <f>5.91+AL115</f>
        <v>33.22</v>
      </c>
      <c r="AV115">
        <v>31.25</v>
      </c>
      <c r="AX115">
        <f>1.97+AV115</f>
        <v>33.22</v>
      </c>
      <c r="AZ115">
        <f>3.94+AV115</f>
        <v>35.19</v>
      </c>
      <c r="BB115">
        <f>5.91+AV115</f>
        <v>37.159999999999997</v>
      </c>
      <c r="BF115">
        <v>31.25</v>
      </c>
      <c r="BH115">
        <f>1.97+BF115</f>
        <v>33.22</v>
      </c>
      <c r="BJ115">
        <f>3.94+BF115</f>
        <v>35.19</v>
      </c>
      <c r="BL115">
        <f>5.91+BF115</f>
        <v>37.159999999999997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 t="str">
        <f>+IF(R114=1,R113,IF(T114=1,T113,IF(V114=1,V113,IF(X114=1,X113,0))))</f>
        <v>12+5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12+5</v>
      </c>
      <c r="T118" s="98" t="str">
        <f>+IF(U117&gt;0,U117,IF(V117&gt;0,V117,IF(W117&gt;0,W117,"à jumeler")))</f>
        <v>12+5</v>
      </c>
    </row>
    <row r="119" spans="6:65" hidden="1" x14ac:dyDescent="0.2">
      <c r="I119" t="s">
        <v>75</v>
      </c>
      <c r="J119" s="98">
        <f>+IF(K117&gt;0,K119,IF(L117&gt;0,L119,IF(M117&gt;0,M119,0)))</f>
        <v>186</v>
      </c>
      <c r="K119">
        <f>+HLOOKUP(J118,H13:O42,28,FALSE)</f>
        <v>186</v>
      </c>
      <c r="L119">
        <f>+HLOOKUP(L117,AB13:AI41,28,FALSE)</f>
        <v>219</v>
      </c>
      <c r="M119">
        <f>+HLOOKUP(M117,AV13:BC41,28,FALSE)</f>
        <v>265</v>
      </c>
      <c r="T119" s="98">
        <f>+IF(U117&gt;0,U119,IF(V117&gt;0,V119,IF(W117&gt;0,W119,0)))</f>
        <v>179</v>
      </c>
      <c r="U119">
        <f>+HLOOKUP(U117,R13:Y41,28,FALSE)</f>
        <v>179</v>
      </c>
      <c r="V119">
        <f>+HLOOKUP(V117,AL13:AS41,28,FALSE)</f>
        <v>198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62</v>
      </c>
      <c r="K120">
        <f>+HLOOKUP(J118,H13:O41,29,FALSE)</f>
        <v>62</v>
      </c>
      <c r="L120">
        <f>+HLOOKUP(L117,AB13:AI41,29,FALSE)</f>
        <v>69</v>
      </c>
      <c r="M120">
        <f>+HLOOKUP(M117,AV13:BC92,29,FALSE)</f>
        <v>89.5</v>
      </c>
      <c r="T120" s="98">
        <f>+IF(U117&gt;0,U120,IF(V117&gt;0,V120,IF(W117&gt;0,W120,0)))</f>
        <v>61</v>
      </c>
      <c r="U120">
        <f>+HLOOKUP(U117,R13:Y41,29,FALSE)</f>
        <v>61</v>
      </c>
      <c r="V120">
        <f>+HLOOKUP(V117,AL13:AS41,29,FALSE)</f>
        <v>69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23.03</v>
      </c>
      <c r="K121">
        <f>+HLOOKUP(K117,H113:O115,3,FALSE)</f>
        <v>23.03</v>
      </c>
      <c r="L121">
        <f>+HLOOKUP(L117,AB113:AI115,3,FALSE)</f>
        <v>27.31</v>
      </c>
      <c r="M121">
        <f>+HLOOKUP(M117,AV113:BC115,3,FALSE)</f>
        <v>31.25</v>
      </c>
      <c r="T121" s="98">
        <f>+IF(U117&gt;0,U121,IF(V117&gt;0,V121,IF(W117&gt;0,W121,0)))</f>
        <v>22.49</v>
      </c>
      <c r="U121">
        <f>+HLOOKUP(U117,R113:Y115,3,FALSE)</f>
        <v>22.49</v>
      </c>
      <c r="V121">
        <f>+HLOOKUP(V117,AL113:AS115,3,FALSE)</f>
        <v>27.31</v>
      </c>
      <c r="W121">
        <f>+HLOOKUP(W117,BF113:BM115,3,FALSE)</f>
        <v>31.25</v>
      </c>
    </row>
    <row r="122" spans="6:65" hidden="1" x14ac:dyDescent="0.2"/>
    <row r="123" spans="6:65" hidden="1" x14ac:dyDescent="0.2"/>
    <row r="124" spans="6:65" hidden="1" x14ac:dyDescent="0.2"/>
    <row r="125" spans="6:65" hidden="1" x14ac:dyDescent="0.2"/>
  </sheetData>
  <sheetProtection algorithmName="SHA-512" hashValue="tjU4XOwcXI3+ftSGhKK9Py3RgJsrhZ0Du/M3ua2CZvC9I/5XP6jlFn4DE9QTkThBLCoVyBmDpZxZjdaHFjOXbQ==" saltValue="rwBVEe3EwkwJOzf64UUvGA==" spinCount="100000" sheet="1" objects="1" scenarios="1"/>
  <mergeCells count="336">
    <mergeCell ref="AZ114:BA114"/>
    <mergeCell ref="BB114:BC114"/>
    <mergeCell ref="BF114:BG114"/>
    <mergeCell ref="BH114:BI114"/>
    <mergeCell ref="BJ114:BK114"/>
    <mergeCell ref="BL114:BM114"/>
    <mergeCell ref="AL114:AM114"/>
    <mergeCell ref="AN114:AO114"/>
    <mergeCell ref="AP114:AQ114"/>
    <mergeCell ref="AR114:AS114"/>
    <mergeCell ref="AV114:AW114"/>
    <mergeCell ref="AX114:AY114"/>
    <mergeCell ref="V114:W114"/>
    <mergeCell ref="X114:Y114"/>
    <mergeCell ref="AB114:AC114"/>
    <mergeCell ref="AD114:AE114"/>
    <mergeCell ref="AF114:AG114"/>
    <mergeCell ref="AH114:AI114"/>
    <mergeCell ref="H114:I114"/>
    <mergeCell ref="J114:K114"/>
    <mergeCell ref="L114:M114"/>
    <mergeCell ref="N114:O114"/>
    <mergeCell ref="R114:S114"/>
    <mergeCell ref="T114:U114"/>
    <mergeCell ref="AZ113:BA113"/>
    <mergeCell ref="BB113:BC113"/>
    <mergeCell ref="BF113:BG113"/>
    <mergeCell ref="BH113:BI113"/>
    <mergeCell ref="BJ113:BK113"/>
    <mergeCell ref="BL113:BM113"/>
    <mergeCell ref="AL113:AM113"/>
    <mergeCell ref="AN113:AO113"/>
    <mergeCell ref="AP113:AQ113"/>
    <mergeCell ref="AR113:AS113"/>
    <mergeCell ref="AV113:AW113"/>
    <mergeCell ref="AX113:AY113"/>
    <mergeCell ref="V113:W113"/>
    <mergeCell ref="X113:Y113"/>
    <mergeCell ref="AB113:AC113"/>
    <mergeCell ref="AD113:AE113"/>
    <mergeCell ref="AF113:AG113"/>
    <mergeCell ref="AH113:AI113"/>
    <mergeCell ref="H113:I113"/>
    <mergeCell ref="J113:K113"/>
    <mergeCell ref="L113:M113"/>
    <mergeCell ref="N113:O113"/>
    <mergeCell ref="R113:S113"/>
    <mergeCell ref="T113:U113"/>
    <mergeCell ref="AZ102:BA102"/>
    <mergeCell ref="BB102:BC102"/>
    <mergeCell ref="BF102:BG102"/>
    <mergeCell ref="BH102:BI102"/>
    <mergeCell ref="BJ102:BK102"/>
    <mergeCell ref="BL102:BM102"/>
    <mergeCell ref="AL102:AM102"/>
    <mergeCell ref="AN102:AO102"/>
    <mergeCell ref="AP102:AQ102"/>
    <mergeCell ref="AR102:AS102"/>
    <mergeCell ref="AV102:AW102"/>
    <mergeCell ref="AX102:AY102"/>
    <mergeCell ref="V102:W102"/>
    <mergeCell ref="X102:Y102"/>
    <mergeCell ref="AB102:AC102"/>
    <mergeCell ref="AD102:AE102"/>
    <mergeCell ref="AF102:AG102"/>
    <mergeCell ref="AH102:AI102"/>
    <mergeCell ref="H102:I102"/>
    <mergeCell ref="J102:K102"/>
    <mergeCell ref="L102:M102"/>
    <mergeCell ref="N102:O102"/>
    <mergeCell ref="R102:S102"/>
    <mergeCell ref="T102:U102"/>
    <mergeCell ref="AZ101:BA101"/>
    <mergeCell ref="BB101:BC101"/>
    <mergeCell ref="BF101:BG101"/>
    <mergeCell ref="BH101:BI101"/>
    <mergeCell ref="BJ101:BK101"/>
    <mergeCell ref="BL101:BM101"/>
    <mergeCell ref="AL101:AM101"/>
    <mergeCell ref="AN101:AO101"/>
    <mergeCell ref="AP101:AQ101"/>
    <mergeCell ref="AR101:AS101"/>
    <mergeCell ref="AV101:AW101"/>
    <mergeCell ref="AX101:AY101"/>
    <mergeCell ref="V101:W101"/>
    <mergeCell ref="X101:Y101"/>
    <mergeCell ref="AB101:AC101"/>
    <mergeCell ref="AD101:AE101"/>
    <mergeCell ref="AF101:AG101"/>
    <mergeCell ref="AH101:AI101"/>
    <mergeCell ref="H101:I101"/>
    <mergeCell ref="J101:K101"/>
    <mergeCell ref="L101:M101"/>
    <mergeCell ref="N101:O101"/>
    <mergeCell ref="R101:S101"/>
    <mergeCell ref="T101:U101"/>
    <mergeCell ref="AZ89:BA89"/>
    <mergeCell ref="BB89:BC89"/>
    <mergeCell ref="BF89:BG89"/>
    <mergeCell ref="BH89:BI89"/>
    <mergeCell ref="BJ89:BK89"/>
    <mergeCell ref="BL89:BM89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BH87:BI87"/>
    <mergeCell ref="BJ87:BK87"/>
    <mergeCell ref="BL87:BM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BH60:BI60"/>
    <mergeCell ref="BJ60:BK60"/>
    <mergeCell ref="BL60:BM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60:O60"/>
    <mergeCell ref="R60:S60"/>
    <mergeCell ref="T60:U60"/>
    <mergeCell ref="AZ59:BA59"/>
    <mergeCell ref="BB59:BC59"/>
    <mergeCell ref="BF59:BG59"/>
    <mergeCell ref="BH59:BI59"/>
    <mergeCell ref="BJ59:BK59"/>
    <mergeCell ref="BL59:BM59"/>
    <mergeCell ref="AL59:AM59"/>
    <mergeCell ref="AN59:AO59"/>
    <mergeCell ref="AP59:AQ59"/>
    <mergeCell ref="AR59:AS59"/>
    <mergeCell ref="AV59:AW59"/>
    <mergeCell ref="AX59:AY59"/>
    <mergeCell ref="V59:W59"/>
    <mergeCell ref="X59:Y59"/>
    <mergeCell ref="AB59:AC59"/>
    <mergeCell ref="AD59:AE59"/>
    <mergeCell ref="AF59:AG59"/>
    <mergeCell ref="AH59:AI59"/>
    <mergeCell ref="H59:I59"/>
    <mergeCell ref="J59:K59"/>
    <mergeCell ref="L59:M59"/>
    <mergeCell ref="N59:O59"/>
    <mergeCell ref="R59:S59"/>
    <mergeCell ref="T59:U59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Z13:BA13"/>
    <mergeCell ref="BB13:BC13"/>
    <mergeCell ref="BF13:BG13"/>
    <mergeCell ref="BH13:BI13"/>
    <mergeCell ref="BJ13:BK13"/>
    <mergeCell ref="BL13:BM13"/>
    <mergeCell ref="AL13:AM13"/>
    <mergeCell ref="AN13:AO13"/>
    <mergeCell ref="AP13:AQ13"/>
    <mergeCell ref="AR13:AS13"/>
    <mergeCell ref="AV13:AW13"/>
    <mergeCell ref="AX13:AY13"/>
    <mergeCell ref="V13:W13"/>
    <mergeCell ref="X13:Y13"/>
    <mergeCell ref="AB13:AC13"/>
    <mergeCell ref="AD13:AE13"/>
    <mergeCell ref="AF13:AG13"/>
    <mergeCell ref="AH13:AI13"/>
    <mergeCell ref="H13:I13"/>
    <mergeCell ref="J13:K13"/>
    <mergeCell ref="L13:M13"/>
    <mergeCell ref="N13:O13"/>
    <mergeCell ref="R13:S13"/>
    <mergeCell ref="T13:U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DIM</vt:lpstr>
      <vt:lpstr>descriptif</vt:lpstr>
      <vt:lpstr>AIDE</vt:lpstr>
      <vt:lpstr>polyseac</vt:lpstr>
      <vt:lpstr>ebsvs</vt:lpstr>
      <vt:lpstr>plastivs</vt:lpstr>
      <vt:lpstr>seacisol</vt:lpstr>
      <vt:lpstr>ebset</vt:lpstr>
      <vt:lpstr>seacbois</vt:lpstr>
      <vt:lpstr>images</vt:lpstr>
      <vt:lpstr>acv</vt:lpstr>
      <vt:lpstr>GF SE VS Polyseac Jum</vt:lpstr>
      <vt:lpstr>nomproduit</vt:lpstr>
      <vt:lpstr>DIM!Zone_d_impression</vt:lpstr>
    </vt:vector>
  </TitlesOfParts>
  <Company>GUIRAUD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Marchesin P.</dc:creator>
  <cp:lastModifiedBy>patrick ader</cp:lastModifiedBy>
  <cp:lastPrinted>2025-09-15T06:32:36Z</cp:lastPrinted>
  <dcterms:created xsi:type="dcterms:W3CDTF">1999-10-12T09:34:53Z</dcterms:created>
  <dcterms:modified xsi:type="dcterms:W3CDTF">2026-04-15T07:05:10Z</dcterms:modified>
</cp:coreProperties>
</file>