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C:\Users\pader\Dropbox\plancher\"/>
    </mc:Choice>
  </mc:AlternateContent>
  <xr:revisionPtr revIDLastSave="0" documentId="13_ncr:1_{CCC5BC46-78C3-49B3-B07A-78BEDFCD7500}" xr6:coauthVersionLast="47" xr6:coauthVersionMax="47" xr10:uidLastSave="{00000000-0000-0000-0000-000000000000}"/>
  <workbookProtection workbookAlgorithmName="SHA-512" workbookHashValue="LomLqJMq5yY42vKPZ+pFNviOEoqPyFhCD4xQe5vshl1cap/O+11VNuBE8um8jW31hnSqesr9kaEYQGBIpDnVig==" workbookSaltValue="LFfQndIbtGCQYlhAtshrVQ==" workbookSpinCount="100000" lockStructure="1"/>
  <bookViews>
    <workbookView showHorizontalScroll="0" showVerticalScroll="0" showSheetTabs="0" xWindow="-120" yWindow="-120" windowWidth="29040" windowHeight="15720" tabRatio="793" xr2:uid="{AA08820D-2175-40A0-AFC0-7FC53516D558}"/>
  </bookViews>
  <sheets>
    <sheet name="DIM" sheetId="30" r:id="rId1"/>
    <sheet name="descriptif" sheetId="38" r:id="rId2"/>
    <sheet name="AIDE" sheetId="37" r:id="rId3"/>
    <sheet name="polyseac" sheetId="31" r:id="rId4"/>
    <sheet name="ebsvs" sheetId="33" r:id="rId5"/>
    <sheet name="plastivs" sheetId="34" r:id="rId6"/>
    <sheet name="seacisol" sheetId="36" r:id="rId7"/>
    <sheet name="ebset" sheetId="35" r:id="rId8"/>
    <sheet name="seacbois" sheetId="41" r:id="rId9"/>
    <sheet name="images" sheetId="32" r:id="rId10"/>
    <sheet name="acv" sheetId="42" r:id="rId11"/>
    <sheet name="GF SE VS Polyseac Jum" sheetId="26" state="hidden" r:id="rId12"/>
  </sheets>
  <definedNames>
    <definedName name="geometrie">#REF!</definedName>
    <definedName name="nomproduit">images!$B$5:$B$11</definedName>
    <definedName name="NOTE_DE_CALCUL">#REF!</definedName>
    <definedName name="photo">OFFSET(images!$C$4,MATCH(DIM!$G$32,nomproduit,0),0)</definedName>
    <definedName name="position">#REF!</definedName>
    <definedName name="_xlnm.Print_Area" localSheetId="0">DIM!$G$2:$U$46</definedName>
  </definedNames>
  <calcPr calcId="181029"/>
  <customWorkbookViews>
    <customWorkbookView name="TRANCH (CALCPLLE)" guid="{8096D78E-774E-11D3-AB73-000003A8EDFF}" maximized="1" xWindow="1" yWindow="1" windowWidth="797" windowHeight="468" activeSheetId="1" showFormulaBar="0" showStatusbar="0"/>
    <customWorkbookView name="SOLLI (CALCPLLE)" guid="{8096D78D-774E-11D3-AB73-000003A8EDFF}" maximized="1" xWindow="1" yWindow="1" windowWidth="797" windowHeight="468" activeSheetId="1" showFormulaBar="0" showStatusbar="0"/>
    <customWorkbookView name="PROVI (CALCPLLE)" guid="{8096D78C-774E-11D3-AB73-000003A8EDFF}" maximized="1" xWindow="1" yWindow="1" windowWidth="797" windowHeight="468" activeSheetId="1" showFormulaBar="0" showStatusbar="0"/>
    <customWorkbookView name="PRIX (CALCPLLE)" guid="{8096D78B-774E-11D3-AB73-000003A8EDFF}" maximized="1" xWindow="1" yWindow="1" windowWidth="797" windowHeight="549" activeSheetId="1" showFormulaBar="0" showStatusbar="0"/>
    <customWorkbookView name="MONTA (CALCPLLE)" guid="{8096D78A-774E-11D3-AB73-000003A8EDFF}" maximized="1" xWindow="1" yWindow="1" windowWidth="797" windowHeight="468" activeSheetId="1" showFormulaBar="0" showStatusbar="0"/>
    <customWorkbookView name="MELU (CALCPLLE)" guid="{8096D789-774E-11D3-AB73-000003A8EDFF}" maximized="1" xWindow="1" yWindow="1" windowWidth="797" windowHeight="468" activeSheetId="1" showFormulaBar="0" showStatusbar="0"/>
    <customWorkbookView name="MELS (CALCPLLE)" guid="{8096D788-774E-11D3-AB73-000003A8EDFF}" maximized="1" xWindow="1" yWindow="1" windowWidth="797" windowHeight="468" activeSheetId="1" showFormulaBar="0" showStatusbar="0"/>
    <customWorkbookView name="ITER (CALCPLLE)" guid="{8096D787-774E-11D3-AB73-000003A8EDFF}" maximized="1" xWindow="1" yWindow="1" windowWidth="797" windowHeight="468" activeSheetId="1" showFormulaBar="0" showStatusbar="0"/>
    <customWorkbookView name="GEOME (CALCPLLE)" guid="{8096D786-774E-11D3-AB73-000003A8EDFF}" maximized="1" xWindow="1" yWindow="1" windowWidth="797" windowHeight="468" activeSheetId="1" showFormulaBar="0" showStatusbar="0"/>
    <customWorkbookView name="FLECH (CALCPLLE)" guid="{8096D785-774E-11D3-AB73-000003A8EDFF}" maximized="1" xWindow="1" yWindow="1" windowWidth="797" windowHeight="468" activeSheetId="1" showFormulaBar="0" showStatusbar="0"/>
    <customWorkbookView name="EQUIV (CALCPLLE)" guid="{8096D784-774E-11D3-AB73-000003A8EDFF}" maximized="1" xWindow="1" yWindow="1" windowWidth="797" windowHeight="468" activeSheetId="1" showFormulaBar="0" showStatusbar="0"/>
    <customWorkbookView name="DIMEN (CALCPLLE)" guid="{8096D783-774E-11D3-AB73-000003A8EDFF}" maximized="1" xWindow="1" yWindow="1" windowWidth="997" windowHeight="699" activeSheetId="1" showFormulaBar="0" showStatusbar="0"/>
    <customWorkbookView name="COMPA (CALCPLLE)" guid="{8096D782-774E-11D3-AB73-000003A8EDFF}" maximized="1" xWindow="1" yWindow="1" windowWidth="797" windowHeight="468" activeSheetId="1" showFormulaBar="0" showStatusbar="0"/>
    <customWorkbookView name="CHAP (CALCPLLE)" guid="{8096D781-774E-11D3-AB73-000003A8EDFF}" maximized="1" xWindow="1" yWindow="1" windowWidth="797" windowHeight="468" activeSheetId="1" showFormulaBar="0" showStatusbar="0"/>
    <customWorkbookView name="ANCRA (CALCPLLE)" guid="{8096D780-774E-11D3-AB73-000003A8EDFF}" maximized="1" xWindow="1" yWindow="1" windowWidth="797" windowHeight="468" activeSheetId="1" showFormulaBar="0" showStatusbar="0"/>
  </customWorkbookViews>
</workbook>
</file>

<file path=xl/calcChain.xml><?xml version="1.0" encoding="utf-8"?>
<calcChain xmlns="http://schemas.openxmlformats.org/spreadsheetml/2006/main">
  <c r="AA77" i="42" l="1"/>
  <c r="O17" i="42"/>
  <c r="X19" i="42"/>
  <c r="AB72" i="42"/>
  <c r="AA74" i="42"/>
  <c r="D38" i="42"/>
  <c r="D29" i="42"/>
  <c r="X49" i="42"/>
  <c r="X77" i="42"/>
  <c r="X76" i="42"/>
  <c r="X75" i="42"/>
  <c r="X74" i="42"/>
  <c r="AR70" i="42"/>
  <c r="AL70" i="42"/>
  <c r="AR69" i="42"/>
  <c r="AL69" i="42"/>
  <c r="AR68" i="42"/>
  <c r="AL68" i="42"/>
  <c r="X58" i="42"/>
  <c r="X55" i="42"/>
  <c r="X52" i="42"/>
  <c r="D40" i="42"/>
  <c r="D39" i="42"/>
  <c r="D37" i="42"/>
  <c r="AX26" i="42"/>
  <c r="AW26" i="42"/>
  <c r="AV26" i="42"/>
  <c r="AU26" i="42"/>
  <c r="AA26" i="42"/>
  <c r="Z26" i="42" s="1"/>
  <c r="X26" i="42"/>
  <c r="AX25" i="42"/>
  <c r="AW25" i="42"/>
  <c r="AV25" i="42"/>
  <c r="AU25" i="42"/>
  <c r="BB25" i="42" s="1"/>
  <c r="AA25" i="42"/>
  <c r="Z25" i="42" s="1"/>
  <c r="G17" i="42" s="1"/>
  <c r="D26" i="42" s="1"/>
  <c r="X25" i="42"/>
  <c r="BB24" i="42"/>
  <c r="AX24" i="42"/>
  <c r="AW24" i="42"/>
  <c r="AV24" i="42"/>
  <c r="AU24" i="42"/>
  <c r="AA24" i="42"/>
  <c r="Z24" i="42" s="1"/>
  <c r="X24" i="42"/>
  <c r="AX23" i="42"/>
  <c r="AW23" i="42"/>
  <c r="AV23" i="42"/>
  <c r="AU23" i="42"/>
  <c r="BB23" i="42" s="1"/>
  <c r="AX19" i="42"/>
  <c r="AW19" i="42"/>
  <c r="AV19" i="42"/>
  <c r="AU19" i="42"/>
  <c r="AX18" i="42"/>
  <c r="AW18" i="42"/>
  <c r="AV18" i="42"/>
  <c r="AU18" i="42"/>
  <c r="AX17" i="42"/>
  <c r="AW17" i="42"/>
  <c r="AV17" i="42"/>
  <c r="AU17" i="42"/>
  <c r="K17" i="42"/>
  <c r="J26" i="42" s="1"/>
  <c r="F17" i="42"/>
  <c r="BA15" i="42"/>
  <c r="BB15" i="42" s="1"/>
  <c r="BA14" i="42"/>
  <c r="BB14" i="42" s="1"/>
  <c r="BA13" i="42"/>
  <c r="BB13" i="42" s="1"/>
  <c r="AA75" i="42" l="1"/>
  <c r="AA76" i="42"/>
  <c r="I17" i="42"/>
  <c r="H26" i="42" s="1"/>
  <c r="N17" i="42" l="1"/>
  <c r="P17" i="42" s="1"/>
  <c r="L26" i="42" s="1"/>
  <c r="L31" i="42" s="1"/>
  <c r="Q37" i="30" l="1"/>
  <c r="Q25" i="30"/>
  <c r="M120" i="34"/>
  <c r="J81" i="33"/>
  <c r="J80" i="33"/>
  <c r="J79" i="33"/>
  <c r="J76" i="33"/>
  <c r="J74" i="33"/>
  <c r="J73" i="33"/>
  <c r="J72" i="33"/>
  <c r="J71" i="33"/>
  <c r="J68" i="33"/>
  <c r="J67" i="33"/>
  <c r="AI37" i="30"/>
  <c r="AI31" i="30"/>
  <c r="AF4" i="30"/>
  <c r="AF15" i="30" s="1"/>
  <c r="AD22" i="30"/>
  <c r="AE15" i="30"/>
  <c r="AF16" i="30" l="1"/>
  <c r="AF17" i="30"/>
  <c r="AH46" i="30"/>
  <c r="BL115" i="41" l="1"/>
  <c r="BJ115" i="41"/>
  <c r="BH115" i="41"/>
  <c r="BB115" i="41"/>
  <c r="AZ115" i="41"/>
  <c r="AX115" i="41"/>
  <c r="AR115" i="41"/>
  <c r="AP115" i="41"/>
  <c r="AN115" i="41"/>
  <c r="AH115" i="41"/>
  <c r="AF115" i="41"/>
  <c r="AD115" i="41"/>
  <c r="X115" i="41"/>
  <c r="V115" i="41"/>
  <c r="T115" i="41"/>
  <c r="N115" i="41"/>
  <c r="L115" i="41"/>
  <c r="J115" i="41"/>
  <c r="BL103" i="41"/>
  <c r="BJ103" i="41"/>
  <c r="BH103" i="41"/>
  <c r="BB103" i="41"/>
  <c r="AZ103" i="41"/>
  <c r="AX103" i="41"/>
  <c r="AR103" i="41"/>
  <c r="AP103" i="41"/>
  <c r="AN103" i="41"/>
  <c r="AH103" i="41"/>
  <c r="AF103" i="41"/>
  <c r="AD103" i="41"/>
  <c r="X103" i="41"/>
  <c r="V103" i="41"/>
  <c r="T103" i="41"/>
  <c r="N103" i="41"/>
  <c r="L103" i="41"/>
  <c r="J103" i="41"/>
  <c r="F102" i="41"/>
  <c r="G92" i="41"/>
  <c r="E91" i="41"/>
  <c r="AK90" i="41"/>
  <c r="AO93" i="41" s="1"/>
  <c r="AA90" i="41"/>
  <c r="AE93" i="41" s="1"/>
  <c r="I94" i="41" s="1"/>
  <c r="Q90" i="41"/>
  <c r="U93" i="41" s="1"/>
  <c r="G90" i="41"/>
  <c r="K92" i="41" s="1"/>
  <c r="H93" i="41" s="1"/>
  <c r="G89" i="41"/>
  <c r="J81" i="41"/>
  <c r="J80" i="41"/>
  <c r="J79" i="41"/>
  <c r="J76" i="41"/>
  <c r="J74" i="41"/>
  <c r="J73" i="41"/>
  <c r="J72" i="41"/>
  <c r="J71" i="41"/>
  <c r="J68" i="41"/>
  <c r="J67" i="41"/>
  <c r="E45" i="41"/>
  <c r="AA44" i="41"/>
  <c r="AE46" i="41" s="1"/>
  <c r="H48" i="41" s="1"/>
  <c r="Q44" i="41"/>
  <c r="U45" i="41" s="1"/>
  <c r="U48" i="41" s="1"/>
  <c r="G44" i="41"/>
  <c r="K47" i="41" s="1"/>
  <c r="I47" i="41" s="1"/>
  <c r="AH37" i="41"/>
  <c r="AG37" i="41"/>
  <c r="AF37" i="41"/>
  <c r="AD37" i="41"/>
  <c r="AI29" i="41"/>
  <c r="AH29" i="41"/>
  <c r="AF29" i="41"/>
  <c r="AE29" i="41"/>
  <c r="BL115" i="35"/>
  <c r="BJ115" i="35"/>
  <c r="BH115" i="35"/>
  <c r="BB115" i="35"/>
  <c r="AZ115" i="35"/>
  <c r="AX115" i="35"/>
  <c r="AR115" i="35"/>
  <c r="AP115" i="35"/>
  <c r="AN115" i="35"/>
  <c r="AH115" i="35"/>
  <c r="AF115" i="35"/>
  <c r="AD115" i="35"/>
  <c r="X115" i="35"/>
  <c r="V115" i="35"/>
  <c r="T115" i="35"/>
  <c r="N115" i="35"/>
  <c r="L115" i="35"/>
  <c r="J115" i="35"/>
  <c r="BL103" i="35"/>
  <c r="BJ103" i="35"/>
  <c r="BH103" i="35"/>
  <c r="BB103" i="35"/>
  <c r="AZ103" i="35"/>
  <c r="AX103" i="35"/>
  <c r="AR103" i="35"/>
  <c r="AP103" i="35"/>
  <c r="AN103" i="35"/>
  <c r="AH103" i="35"/>
  <c r="AF103" i="35"/>
  <c r="AD103" i="35"/>
  <c r="X103" i="35"/>
  <c r="V103" i="35"/>
  <c r="T103" i="35"/>
  <c r="N103" i="35"/>
  <c r="L103" i="35"/>
  <c r="J103" i="35"/>
  <c r="AE91" i="41" l="1"/>
  <c r="AE94" i="41" s="1"/>
  <c r="J94" i="41" s="1"/>
  <c r="K93" i="41"/>
  <c r="I93" i="41" s="1"/>
  <c r="G98" i="41" s="1"/>
  <c r="U91" i="41"/>
  <c r="U94" i="41" s="1"/>
  <c r="AE47" i="41"/>
  <c r="I48" i="41" s="1"/>
  <c r="G52" i="41" s="1"/>
  <c r="K91" i="41"/>
  <c r="K94" i="41" s="1"/>
  <c r="J93" i="41" s="1"/>
  <c r="U92" i="41"/>
  <c r="K45" i="41"/>
  <c r="K48" i="41" s="1"/>
  <c r="J47" i="41" s="1"/>
  <c r="AE45" i="41"/>
  <c r="AE48" i="41" s="1"/>
  <c r="J48" i="41" s="1"/>
  <c r="U47" i="41"/>
  <c r="AE92" i="41"/>
  <c r="H94" i="41" s="1"/>
  <c r="G97" i="41" s="1"/>
  <c r="AO92" i="41"/>
  <c r="K46" i="41"/>
  <c r="H47" i="41" s="1"/>
  <c r="G51" i="41" s="1"/>
  <c r="AU90" i="41"/>
  <c r="AO91" i="41"/>
  <c r="AO94" i="41" s="1"/>
  <c r="U46" i="41"/>
  <c r="AK44" i="41"/>
  <c r="BL64" i="36"/>
  <c r="BJ64" i="36"/>
  <c r="BH64" i="36"/>
  <c r="BB64" i="36"/>
  <c r="AZ64" i="36"/>
  <c r="AX64" i="36"/>
  <c r="AR64" i="36"/>
  <c r="AP64" i="36"/>
  <c r="AN64" i="36"/>
  <c r="AH64" i="36"/>
  <c r="AF64" i="36"/>
  <c r="AD64" i="36"/>
  <c r="X64" i="36"/>
  <c r="V64" i="36"/>
  <c r="T64" i="36"/>
  <c r="N64" i="36"/>
  <c r="L64" i="36"/>
  <c r="J64" i="36"/>
  <c r="AY93" i="41" l="1"/>
  <c r="I95" i="41" s="1"/>
  <c r="BE90" i="41"/>
  <c r="AY91" i="41"/>
  <c r="AY94" i="41" s="1"/>
  <c r="J95" i="41" s="1"/>
  <c r="AY92" i="41"/>
  <c r="H95" i="41" s="1"/>
  <c r="AO47" i="41"/>
  <c r="AO45" i="41"/>
  <c r="AO48" i="41" s="1"/>
  <c r="G53" i="41" s="1"/>
  <c r="AI30" i="30" s="1"/>
  <c r="AU44" i="41"/>
  <c r="AO46" i="41"/>
  <c r="AR103" i="34"/>
  <c r="AP103" i="34"/>
  <c r="AN103" i="34"/>
  <c r="AH103" i="34"/>
  <c r="AF103" i="34"/>
  <c r="AD103" i="34"/>
  <c r="X103" i="34"/>
  <c r="V103" i="34"/>
  <c r="T103" i="34"/>
  <c r="N103" i="34"/>
  <c r="L103" i="34"/>
  <c r="J103" i="34"/>
  <c r="AR115" i="34"/>
  <c r="AP115" i="34"/>
  <c r="AN115" i="34"/>
  <c r="AH115" i="34"/>
  <c r="AF115" i="34"/>
  <c r="AD115" i="34"/>
  <c r="X115" i="34"/>
  <c r="V115" i="34"/>
  <c r="T115" i="34"/>
  <c r="N115" i="34"/>
  <c r="L115" i="34"/>
  <c r="J115" i="34"/>
  <c r="BL115" i="33"/>
  <c r="BJ115" i="33"/>
  <c r="BH115" i="33"/>
  <c r="BL103" i="33"/>
  <c r="BJ103" i="33"/>
  <c r="BH103" i="33"/>
  <c r="BB115" i="33"/>
  <c r="AZ115" i="33"/>
  <c r="AX115" i="33"/>
  <c r="BB103" i="33"/>
  <c r="AZ103" i="33"/>
  <c r="AX103" i="33"/>
  <c r="AR115" i="33"/>
  <c r="AP115" i="33"/>
  <c r="AN115" i="33"/>
  <c r="AR103" i="33"/>
  <c r="AP103" i="33"/>
  <c r="AN103" i="33"/>
  <c r="AH115" i="33"/>
  <c r="AF115" i="33"/>
  <c r="AD115" i="33"/>
  <c r="AH103" i="33"/>
  <c r="AF103" i="33"/>
  <c r="AD103" i="33"/>
  <c r="X103" i="33"/>
  <c r="V103" i="33"/>
  <c r="T103" i="33"/>
  <c r="N103" i="33"/>
  <c r="L103" i="33"/>
  <c r="J103" i="33"/>
  <c r="X115" i="33"/>
  <c r="V115" i="33"/>
  <c r="T115" i="33"/>
  <c r="N115" i="33"/>
  <c r="L115" i="33"/>
  <c r="J115" i="33"/>
  <c r="G56" i="31"/>
  <c r="H62" i="31"/>
  <c r="AC31" i="30"/>
  <c r="H56" i="31" l="1"/>
  <c r="R56" i="31"/>
  <c r="G99" i="41"/>
  <c r="AI38" i="30" s="1"/>
  <c r="AY47" i="41"/>
  <c r="I49" i="41" s="1"/>
  <c r="AY45" i="41"/>
  <c r="AY48" i="41" s="1"/>
  <c r="J49" i="41" s="1"/>
  <c r="AY46" i="41"/>
  <c r="H49" i="41" s="1"/>
  <c r="BE44" i="41"/>
  <c r="BI91" i="41"/>
  <c r="BI94" i="41" s="1"/>
  <c r="BI92" i="41"/>
  <c r="BI93" i="41"/>
  <c r="J56" i="31"/>
  <c r="X56" i="31"/>
  <c r="AA56" i="31"/>
  <c r="AD56" i="31" s="1"/>
  <c r="AT56" i="31"/>
  <c r="BB56" i="31" s="1"/>
  <c r="L56" i="31"/>
  <c r="N56" i="31"/>
  <c r="T56" i="31"/>
  <c r="V56" i="31"/>
  <c r="BI45" i="41" l="1"/>
  <c r="BI48" i="41" s="1"/>
  <c r="BI47" i="41"/>
  <c r="BI46" i="41"/>
  <c r="BF56" i="31"/>
  <c r="AX56" i="31"/>
  <c r="AB56" i="31"/>
  <c r="BJ56" i="31"/>
  <c r="AZ56" i="31"/>
  <c r="BH56" i="31"/>
  <c r="AL56" i="31"/>
  <c r="AF56" i="31"/>
  <c r="BL56" i="31"/>
  <c r="AV56" i="31"/>
  <c r="AN56" i="31"/>
  <c r="AR56" i="31"/>
  <c r="AP56" i="31"/>
  <c r="AH56" i="31"/>
  <c r="AS32" i="35" l="1"/>
  <c r="BL63" i="35"/>
  <c r="BH17" i="35"/>
  <c r="BJ17" i="35" s="1"/>
  <c r="AS17" i="35"/>
  <c r="AY32" i="36"/>
  <c r="AX32" i="36"/>
  <c r="AZ32" i="36" s="1"/>
  <c r="AN24" i="36"/>
  <c r="AE32" i="36"/>
  <c r="AD32" i="36"/>
  <c r="AF32" i="36" s="1"/>
  <c r="L32" i="36"/>
  <c r="N32" i="36" s="1"/>
  <c r="M32" i="36"/>
  <c r="AN17" i="36"/>
  <c r="AF17" i="36"/>
  <c r="L17" i="36"/>
  <c r="K17" i="36"/>
  <c r="M17" i="36" s="1"/>
  <c r="L78" i="34"/>
  <c r="N78" i="34" s="1"/>
  <c r="M78" i="34"/>
  <c r="O78" i="34" s="1"/>
  <c r="AC63" i="34"/>
  <c r="AB63" i="34"/>
  <c r="X63" i="34"/>
  <c r="M63" i="34"/>
  <c r="O63" i="34" s="1"/>
  <c r="L63" i="34"/>
  <c r="N63" i="34" s="1"/>
  <c r="AK20" i="30" a="1"/>
  <c r="AK20" i="30" s="1"/>
  <c r="F102" i="35"/>
  <c r="V114" i="35" s="1"/>
  <c r="F63" i="36"/>
  <c r="F102" i="34"/>
  <c r="BB114" i="34" s="1"/>
  <c r="F102" i="33"/>
  <c r="F55" i="31"/>
  <c r="E45" i="36"/>
  <c r="E45" i="34"/>
  <c r="E91" i="34"/>
  <c r="E45" i="33"/>
  <c r="E91" i="33"/>
  <c r="Q88" i="41" l="1"/>
  <c r="AU42" i="41"/>
  <c r="AK88" i="41"/>
  <c r="AA88" i="41"/>
  <c r="G88" i="41"/>
  <c r="BE42" i="41"/>
  <c r="BE88" i="41"/>
  <c r="AK42" i="41"/>
  <c r="AU88" i="41"/>
  <c r="G42" i="41"/>
  <c r="Q42" i="41"/>
  <c r="AA42" i="41"/>
  <c r="R114" i="35"/>
  <c r="T114" i="35"/>
  <c r="X114" i="35"/>
  <c r="L102" i="35"/>
  <c r="N102" i="35"/>
  <c r="J102" i="35"/>
  <c r="H102" i="35"/>
  <c r="BF114" i="34"/>
  <c r="BH114" i="34"/>
  <c r="BJ114" i="34"/>
  <c r="BL114" i="34"/>
  <c r="AV102" i="34"/>
  <c r="AX102" i="34"/>
  <c r="AZ102" i="34"/>
  <c r="BB102" i="34"/>
  <c r="BF102" i="34"/>
  <c r="AV114" i="34"/>
  <c r="BH102" i="34"/>
  <c r="AX114" i="34"/>
  <c r="BJ102" i="34"/>
  <c r="AZ114" i="34"/>
  <c r="BL102" i="34"/>
  <c r="T67" i="33"/>
  <c r="T68" i="33"/>
  <c r="T69" i="33"/>
  <c r="T72" i="33"/>
  <c r="T73" i="33"/>
  <c r="T74" i="33"/>
  <c r="T76" i="33"/>
  <c r="T79" i="33"/>
  <c r="T80" i="33"/>
  <c r="T81" i="33"/>
  <c r="T82" i="33"/>
  <c r="T66" i="33"/>
  <c r="AD31" i="30"/>
  <c r="AE37" i="30"/>
  <c r="AE31" i="30"/>
  <c r="E45" i="31"/>
  <c r="BC23" i="36"/>
  <c r="BB22" i="36"/>
  <c r="BB23" i="36"/>
  <c r="BB25" i="36"/>
  <c r="BB21" i="36"/>
  <c r="AZ27" i="36"/>
  <c r="BB27" i="36" s="1"/>
  <c r="AX23" i="36"/>
  <c r="AX25" i="36"/>
  <c r="AX26" i="36"/>
  <c r="AZ26" i="36" s="1"/>
  <c r="BB26" i="36" s="1"/>
  <c r="AX27" i="36"/>
  <c r="AX28" i="36"/>
  <c r="AZ28" i="36" s="1"/>
  <c r="BB28" i="36" s="1"/>
  <c r="AX29" i="36"/>
  <c r="AZ29" i="36" s="1"/>
  <c r="BB29" i="36" s="1"/>
  <c r="AX30" i="36"/>
  <c r="AZ30" i="36" s="1"/>
  <c r="BB30" i="36" s="1"/>
  <c r="AX31" i="36"/>
  <c r="AZ31" i="36" s="1"/>
  <c r="BB31" i="36" s="1"/>
  <c r="AX33" i="36"/>
  <c r="AZ33" i="36" s="1"/>
  <c r="BB33" i="36" s="1"/>
  <c r="AX34" i="36"/>
  <c r="AZ34" i="36" s="1"/>
  <c r="BB34" i="36" s="1"/>
  <c r="AX35" i="36"/>
  <c r="AZ35" i="36" s="1"/>
  <c r="BB35" i="36" s="1"/>
  <c r="AX36" i="36"/>
  <c r="AZ36" i="36" s="1"/>
  <c r="BB36" i="36" s="1"/>
  <c r="AX37" i="36"/>
  <c r="AZ37" i="36" s="1"/>
  <c r="BB37" i="36" s="1"/>
  <c r="AX38" i="36"/>
  <c r="AX22" i="36"/>
  <c r="AY23" i="36"/>
  <c r="AY25" i="36"/>
  <c r="AY26" i="36"/>
  <c r="AY27" i="36"/>
  <c r="BA27" i="36" s="1"/>
  <c r="AY28" i="36"/>
  <c r="BA28" i="36" s="1"/>
  <c r="BC28" i="36" s="1"/>
  <c r="AY29" i="36"/>
  <c r="BA29" i="36" s="1"/>
  <c r="BC29" i="36" s="1"/>
  <c r="AY30" i="36"/>
  <c r="BA30" i="36" s="1"/>
  <c r="BC30" i="36" s="1"/>
  <c r="AY31" i="36"/>
  <c r="BA31" i="36" s="1"/>
  <c r="BC31" i="36" s="1"/>
  <c r="AY33" i="36"/>
  <c r="BA33" i="36" s="1"/>
  <c r="BC33" i="36" s="1"/>
  <c r="AY34" i="36"/>
  <c r="BA34" i="36" s="1"/>
  <c r="BC34" i="36" s="1"/>
  <c r="AY35" i="36"/>
  <c r="BA35" i="36" s="1"/>
  <c r="BC35" i="36" s="1"/>
  <c r="AY36" i="36"/>
  <c r="BA36" i="36" s="1"/>
  <c r="AY37" i="36"/>
  <c r="AY22" i="36"/>
  <c r="AN18" i="36"/>
  <c r="AN19" i="36"/>
  <c r="AN20" i="36"/>
  <c r="AN21" i="36"/>
  <c r="AN22" i="36"/>
  <c r="AN23" i="36"/>
  <c r="AN25" i="36"/>
  <c r="AN26" i="36"/>
  <c r="AN27" i="36"/>
  <c r="AN28" i="36"/>
  <c r="AN29" i="36"/>
  <c r="AN30" i="36"/>
  <c r="AN31" i="36"/>
  <c r="AN16" i="36"/>
  <c r="AH39" i="36"/>
  <c r="AG18" i="36"/>
  <c r="AF19" i="36"/>
  <c r="AH19" i="36" s="1"/>
  <c r="AF35" i="36"/>
  <c r="AH35" i="36" s="1"/>
  <c r="AF36" i="36"/>
  <c r="AH36" i="36" s="1"/>
  <c r="AF21" i="36"/>
  <c r="AH21" i="36" s="1"/>
  <c r="AF18" i="36"/>
  <c r="AF20" i="36"/>
  <c r="AH20" i="36" s="1"/>
  <c r="AE25" i="36"/>
  <c r="AG25" i="36" s="1"/>
  <c r="AI25" i="36" s="1"/>
  <c r="AE26" i="36"/>
  <c r="AG26" i="36" s="1"/>
  <c r="AI26" i="36" s="1"/>
  <c r="AE27" i="36"/>
  <c r="AG27" i="36" s="1"/>
  <c r="AI27" i="36" s="1"/>
  <c r="AE28" i="36"/>
  <c r="AG28" i="36" s="1"/>
  <c r="AI28" i="36" s="1"/>
  <c r="AE29" i="36"/>
  <c r="AG29" i="36" s="1"/>
  <c r="AI29" i="36" s="1"/>
  <c r="AE30" i="36"/>
  <c r="AG30" i="36" s="1"/>
  <c r="AI30" i="36" s="1"/>
  <c r="AE31" i="36"/>
  <c r="AE33" i="36"/>
  <c r="AG33" i="36" s="1"/>
  <c r="AI33" i="36" s="1"/>
  <c r="AE34" i="36"/>
  <c r="AG34" i="36" s="1"/>
  <c r="AI34" i="36" s="1"/>
  <c r="AE35" i="36"/>
  <c r="AG35" i="36" s="1"/>
  <c r="AI35" i="36" s="1"/>
  <c r="AE36" i="36"/>
  <c r="AG36" i="36" s="1"/>
  <c r="AI36" i="36" s="1"/>
  <c r="AE37" i="36"/>
  <c r="AG37" i="36" s="1"/>
  <c r="AI37" i="36" s="1"/>
  <c r="AE19" i="36"/>
  <c r="AG19" i="36" s="1"/>
  <c r="AE20" i="36"/>
  <c r="AG20" i="36" s="1"/>
  <c r="AE21" i="36"/>
  <c r="AG21" i="36" s="1"/>
  <c r="AI21" i="36" s="1"/>
  <c r="AE22" i="36"/>
  <c r="AG22" i="36" s="1"/>
  <c r="AI22" i="36" s="1"/>
  <c r="AD22" i="36"/>
  <c r="AF22" i="36" s="1"/>
  <c r="AH22" i="36" s="1"/>
  <c r="AE23" i="36"/>
  <c r="AG23" i="36" s="1"/>
  <c r="AI23" i="36" s="1"/>
  <c r="AD23" i="36"/>
  <c r="AF23" i="36" s="1"/>
  <c r="AH23" i="36" s="1"/>
  <c r="AD25" i="36"/>
  <c r="AF25" i="36" s="1"/>
  <c r="AH25" i="36" s="1"/>
  <c r="AD26" i="36"/>
  <c r="AF26" i="36" s="1"/>
  <c r="AH26" i="36" s="1"/>
  <c r="AD27" i="36"/>
  <c r="AF27" i="36" s="1"/>
  <c r="AH27" i="36" s="1"/>
  <c r="AD28" i="36"/>
  <c r="AF28" i="36" s="1"/>
  <c r="AH28" i="36" s="1"/>
  <c r="AD29" i="36"/>
  <c r="AF29" i="36" s="1"/>
  <c r="AH29" i="36" s="1"/>
  <c r="AD30" i="36"/>
  <c r="AF30" i="36" s="1"/>
  <c r="AH30" i="36" s="1"/>
  <c r="AD31" i="36"/>
  <c r="AF31" i="36" s="1"/>
  <c r="AD33" i="36"/>
  <c r="AF33" i="36" s="1"/>
  <c r="AH33" i="36" s="1"/>
  <c r="AD34" i="36"/>
  <c r="AF34" i="36" s="1"/>
  <c r="AH34" i="36" s="1"/>
  <c r="AD37" i="36"/>
  <c r="AF37" i="36" s="1"/>
  <c r="AD38" i="36"/>
  <c r="AD39" i="36"/>
  <c r="L18" i="36"/>
  <c r="L19" i="36"/>
  <c r="L20" i="36"/>
  <c r="L21" i="36"/>
  <c r="N21" i="36" s="1"/>
  <c r="L22" i="36"/>
  <c r="N22" i="36" s="1"/>
  <c r="L23" i="36"/>
  <c r="N23" i="36" s="1"/>
  <c r="L25" i="36"/>
  <c r="N25" i="36" s="1"/>
  <c r="L26" i="36"/>
  <c r="N26" i="36" s="1"/>
  <c r="L27" i="36"/>
  <c r="N27" i="36" s="1"/>
  <c r="L28" i="36"/>
  <c r="N28" i="36" s="1"/>
  <c r="L29" i="36"/>
  <c r="N29" i="36" s="1"/>
  <c r="L30" i="36"/>
  <c r="N30" i="36" s="1"/>
  <c r="L31" i="36"/>
  <c r="N31" i="36" s="1"/>
  <c r="L33" i="36"/>
  <c r="L34" i="36"/>
  <c r="L35" i="36"/>
  <c r="L36" i="36"/>
  <c r="L37" i="36"/>
  <c r="L38" i="36"/>
  <c r="L39" i="36"/>
  <c r="K18" i="36"/>
  <c r="M18" i="36" s="1"/>
  <c r="O18" i="36" s="1"/>
  <c r="K19" i="36"/>
  <c r="M19" i="36" s="1"/>
  <c r="O19" i="36" s="1"/>
  <c r="K20" i="36"/>
  <c r="M20" i="36" s="1"/>
  <c r="O20" i="36" s="1"/>
  <c r="K21" i="36"/>
  <c r="M21" i="36" s="1"/>
  <c r="O21" i="36" s="1"/>
  <c r="K22" i="36"/>
  <c r="M22" i="36" s="1"/>
  <c r="O22" i="36" s="1"/>
  <c r="K23" i="36"/>
  <c r="M23" i="36" s="1"/>
  <c r="O23" i="36" s="1"/>
  <c r="K25" i="36"/>
  <c r="M25" i="36" s="1"/>
  <c r="O25" i="36" s="1"/>
  <c r="K26" i="36"/>
  <c r="M26" i="36" s="1"/>
  <c r="O26" i="36" s="1"/>
  <c r="K27" i="36"/>
  <c r="M27" i="36" s="1"/>
  <c r="O27" i="36" s="1"/>
  <c r="K28" i="36"/>
  <c r="M28" i="36" s="1"/>
  <c r="O28" i="36" s="1"/>
  <c r="K29" i="36"/>
  <c r="M29" i="36" s="1"/>
  <c r="O29" i="36" s="1"/>
  <c r="K30" i="36"/>
  <c r="M30" i="36" s="1"/>
  <c r="O30" i="36" s="1"/>
  <c r="K31" i="36"/>
  <c r="M31" i="36" s="1"/>
  <c r="O31" i="36" s="1"/>
  <c r="K33" i="36"/>
  <c r="M33" i="36" s="1"/>
  <c r="O33" i="36" s="1"/>
  <c r="K34" i="36"/>
  <c r="M34" i="36" s="1"/>
  <c r="O34" i="36" s="1"/>
  <c r="K35" i="36"/>
  <c r="M35" i="36" s="1"/>
  <c r="O35" i="36" s="1"/>
  <c r="K36" i="36"/>
  <c r="M36" i="36" s="1"/>
  <c r="O36" i="36" s="1"/>
  <c r="K37" i="36"/>
  <c r="M37" i="36" s="1"/>
  <c r="O37" i="36" s="1"/>
  <c r="K38" i="36"/>
  <c r="M38" i="36" s="1"/>
  <c r="O38" i="36" s="1"/>
  <c r="K39" i="36"/>
  <c r="M39" i="36" s="1"/>
  <c r="O39" i="36" s="1"/>
  <c r="BF88" i="41" l="1"/>
  <c r="BK88" i="41"/>
  <c r="BI88" i="41"/>
  <c r="BL88" i="41"/>
  <c r="BH88" i="41"/>
  <c r="BJ88" i="41"/>
  <c r="BG88" i="41"/>
  <c r="BM88" i="41"/>
  <c r="BJ42" i="41"/>
  <c r="BI42" i="41"/>
  <c r="BH42" i="41"/>
  <c r="BK42" i="41"/>
  <c r="BF42" i="41"/>
  <c r="BL42" i="41"/>
  <c r="BG42" i="41"/>
  <c r="BM42" i="41"/>
  <c r="AR42" i="41"/>
  <c r="AN42" i="41"/>
  <c r="AL42" i="41"/>
  <c r="AS42" i="41"/>
  <c r="AO42" i="41"/>
  <c r="AQ42" i="41"/>
  <c r="AM42" i="41"/>
  <c r="AP42" i="41"/>
  <c r="M88" i="41"/>
  <c r="I88" i="41"/>
  <c r="H88" i="41"/>
  <c r="L88" i="41"/>
  <c r="J88" i="41"/>
  <c r="K88" i="41"/>
  <c r="N88" i="41"/>
  <c r="O88" i="41"/>
  <c r="AI42" i="41"/>
  <c r="AD42" i="41"/>
  <c r="AB42" i="41"/>
  <c r="AE42" i="41"/>
  <c r="AG42" i="41"/>
  <c r="AC42" i="41"/>
  <c r="AF42" i="41"/>
  <c r="AH42" i="41"/>
  <c r="AE88" i="41"/>
  <c r="AF88" i="41"/>
  <c r="AB88" i="41"/>
  <c r="AD88" i="41"/>
  <c r="AG88" i="41"/>
  <c r="AH88" i="41"/>
  <c r="AI88" i="41"/>
  <c r="AC88" i="41"/>
  <c r="AN88" i="41"/>
  <c r="AR88" i="41"/>
  <c r="AL88" i="41"/>
  <c r="AQ88" i="41"/>
  <c r="AO88" i="41"/>
  <c r="AP88" i="41"/>
  <c r="AM88" i="41"/>
  <c r="AS88" i="41"/>
  <c r="I42" i="41"/>
  <c r="N42" i="41"/>
  <c r="M42" i="41"/>
  <c r="K42" i="41"/>
  <c r="L42" i="41"/>
  <c r="H42" i="41"/>
  <c r="J42" i="41"/>
  <c r="O42" i="41"/>
  <c r="AW88" i="41"/>
  <c r="AV42" i="41"/>
  <c r="BA88" i="41"/>
  <c r="AZ42" i="41"/>
  <c r="AY42" i="41"/>
  <c r="BC88" i="41"/>
  <c r="BA42" i="41"/>
  <c r="BB42" i="41"/>
  <c r="AX88" i="41"/>
  <c r="AZ88" i="41"/>
  <c r="AY88" i="41"/>
  <c r="AV88" i="41"/>
  <c r="BB88" i="41"/>
  <c r="AX42" i="41"/>
  <c r="AW42" i="41"/>
  <c r="BC42" i="41"/>
  <c r="R42" i="41"/>
  <c r="T42" i="41"/>
  <c r="W42" i="41"/>
  <c r="U42" i="41"/>
  <c r="Y42" i="41"/>
  <c r="X42" i="41"/>
  <c r="V42" i="41"/>
  <c r="S42" i="41"/>
  <c r="V88" i="41"/>
  <c r="X88" i="41"/>
  <c r="S88" i="41"/>
  <c r="U88" i="41"/>
  <c r="R88" i="41"/>
  <c r="T88" i="41"/>
  <c r="Y88" i="41"/>
  <c r="W88" i="41"/>
  <c r="U117" i="35"/>
  <c r="K105" i="35"/>
  <c r="K109" i="35" s="1"/>
  <c r="BI117" i="34"/>
  <c r="W117" i="34" s="1"/>
  <c r="AY105" i="34"/>
  <c r="BI105" i="34"/>
  <c r="AY117" i="34"/>
  <c r="M117" i="34" s="1"/>
  <c r="G46" i="36"/>
  <c r="AA44" i="36"/>
  <c r="Q44" i="36"/>
  <c r="G44" i="36"/>
  <c r="E91" i="35"/>
  <c r="E45" i="35"/>
  <c r="AD37" i="30"/>
  <c r="G92" i="35"/>
  <c r="G46" i="35"/>
  <c r="BL64" i="35"/>
  <c r="BL65" i="35"/>
  <c r="BL71" i="35"/>
  <c r="BL75" i="35"/>
  <c r="BL76" i="35"/>
  <c r="BL77" i="35"/>
  <c r="BL80" i="35"/>
  <c r="BL81" i="35"/>
  <c r="BL82" i="35"/>
  <c r="BL83" i="35"/>
  <c r="BL84" i="35"/>
  <c r="BL85" i="35"/>
  <c r="BL62" i="35"/>
  <c r="BH18" i="35"/>
  <c r="BJ18" i="35" s="1"/>
  <c r="AS18" i="35"/>
  <c r="AS19" i="35"/>
  <c r="AS20" i="35"/>
  <c r="AS21" i="35"/>
  <c r="AS22" i="35"/>
  <c r="AS23" i="35"/>
  <c r="AS25" i="35"/>
  <c r="AS26" i="35"/>
  <c r="AS27" i="35"/>
  <c r="AS28" i="35"/>
  <c r="AS29" i="35"/>
  <c r="AS30" i="35"/>
  <c r="AS31" i="35"/>
  <c r="AS33" i="35"/>
  <c r="AS34" i="35"/>
  <c r="AS35" i="35"/>
  <c r="AS36" i="35"/>
  <c r="AS37" i="35"/>
  <c r="AS38" i="35"/>
  <c r="AS39" i="35"/>
  <c r="AK90" i="35"/>
  <c r="AA90" i="35"/>
  <c r="Q90" i="35"/>
  <c r="U91" i="35" s="1"/>
  <c r="U94" i="35" s="1"/>
  <c r="G90" i="35"/>
  <c r="K92" i="35" s="1"/>
  <c r="G89" i="35"/>
  <c r="AA44" i="35"/>
  <c r="Q44" i="35"/>
  <c r="U46" i="35" s="1"/>
  <c r="G44" i="35"/>
  <c r="AH37" i="35"/>
  <c r="AG37" i="35"/>
  <c r="AF37" i="35"/>
  <c r="AD37" i="35"/>
  <c r="AC37" i="35"/>
  <c r="AB37" i="35"/>
  <c r="AI29" i="35"/>
  <c r="AH29" i="35"/>
  <c r="AF29" i="35"/>
  <c r="AE29" i="35"/>
  <c r="AR72" i="34"/>
  <c r="AS72" i="34"/>
  <c r="AR73" i="34"/>
  <c r="AS73" i="34"/>
  <c r="AR74" i="34"/>
  <c r="AS74" i="34"/>
  <c r="AR75" i="34"/>
  <c r="AS75" i="34"/>
  <c r="AR76" i="34"/>
  <c r="AS76" i="34"/>
  <c r="AR77" i="34"/>
  <c r="AS77" i="34"/>
  <c r="AR79" i="34"/>
  <c r="AS79" i="34"/>
  <c r="AR80" i="34"/>
  <c r="AS80" i="34"/>
  <c r="AR81" i="34"/>
  <c r="AS81" i="34"/>
  <c r="AR82" i="34"/>
  <c r="AS82" i="34"/>
  <c r="AR83" i="34"/>
  <c r="AS83" i="34"/>
  <c r="AR84" i="34"/>
  <c r="AS84" i="34"/>
  <c r="AR85" i="34"/>
  <c r="AS85" i="34"/>
  <c r="AR71" i="34"/>
  <c r="AF64" i="34"/>
  <c r="AD64" i="34" s="1"/>
  <c r="AB64" i="34" s="1"/>
  <c r="AG64" i="34"/>
  <c r="AE64" i="34" s="1"/>
  <c r="AC64" i="34" s="1"/>
  <c r="AF65" i="34"/>
  <c r="AD65" i="34" s="1"/>
  <c r="AB65" i="34" s="1"/>
  <c r="AG65" i="34"/>
  <c r="AE65" i="34" s="1"/>
  <c r="AC65" i="34" s="1"/>
  <c r="AF66" i="34"/>
  <c r="AD66" i="34" s="1"/>
  <c r="AB66" i="34" s="1"/>
  <c r="AG66" i="34"/>
  <c r="AE66" i="34" s="1"/>
  <c r="AC66" i="34" s="1"/>
  <c r="AF67" i="34"/>
  <c r="AD67" i="34" s="1"/>
  <c r="AB67" i="34" s="1"/>
  <c r="AG67" i="34"/>
  <c r="AE67" i="34" s="1"/>
  <c r="AC67" i="34" s="1"/>
  <c r="AF68" i="34"/>
  <c r="AD68" i="34" s="1"/>
  <c r="AB68" i="34" s="1"/>
  <c r="AG68" i="34"/>
  <c r="AE68" i="34" s="1"/>
  <c r="AC68" i="34" s="1"/>
  <c r="AF69" i="34"/>
  <c r="AD69" i="34" s="1"/>
  <c r="AB69" i="34" s="1"/>
  <c r="AG69" i="34"/>
  <c r="AE69" i="34" s="1"/>
  <c r="AC69" i="34" s="1"/>
  <c r="AF71" i="34"/>
  <c r="AD71" i="34" s="1"/>
  <c r="AB71" i="34" s="1"/>
  <c r="AG71" i="34"/>
  <c r="AE71" i="34" s="1"/>
  <c r="AF72" i="34"/>
  <c r="AD72" i="34" s="1"/>
  <c r="AB72" i="34" s="1"/>
  <c r="AG72" i="34"/>
  <c r="AE72" i="34" s="1"/>
  <c r="AC72" i="34" s="1"/>
  <c r="AF73" i="34"/>
  <c r="AD73" i="34" s="1"/>
  <c r="AB73" i="34" s="1"/>
  <c r="AG73" i="34"/>
  <c r="AE73" i="34" s="1"/>
  <c r="AC73" i="34" s="1"/>
  <c r="AF74" i="34"/>
  <c r="AD74" i="34" s="1"/>
  <c r="AB74" i="34" s="1"/>
  <c r="AG74" i="34"/>
  <c r="AE74" i="34" s="1"/>
  <c r="AC74" i="34" s="1"/>
  <c r="AF75" i="34"/>
  <c r="AD75" i="34" s="1"/>
  <c r="AB75" i="34" s="1"/>
  <c r="AG75" i="34"/>
  <c r="AE75" i="34" s="1"/>
  <c r="AC75" i="34" s="1"/>
  <c r="AF76" i="34"/>
  <c r="AD76" i="34" s="1"/>
  <c r="AB76" i="34" s="1"/>
  <c r="AG76" i="34"/>
  <c r="AE76" i="34" s="1"/>
  <c r="AC76" i="34" s="1"/>
  <c r="AF77" i="34"/>
  <c r="AD77" i="34" s="1"/>
  <c r="AB77" i="34" s="1"/>
  <c r="AG77" i="34"/>
  <c r="AE77" i="34" s="1"/>
  <c r="AC77" i="34" s="1"/>
  <c r="AF79" i="34"/>
  <c r="AD79" i="34" s="1"/>
  <c r="AB79" i="34" s="1"/>
  <c r="AG79" i="34"/>
  <c r="AE79" i="34" s="1"/>
  <c r="AC79" i="34" s="1"/>
  <c r="AF80" i="34"/>
  <c r="AD80" i="34" s="1"/>
  <c r="AB80" i="34" s="1"/>
  <c r="AG80" i="34"/>
  <c r="AE80" i="34" s="1"/>
  <c r="AC80" i="34" s="1"/>
  <c r="AF81" i="34"/>
  <c r="AD81" i="34" s="1"/>
  <c r="AB81" i="34" s="1"/>
  <c r="AG81" i="34"/>
  <c r="AE81" i="34" s="1"/>
  <c r="AC81" i="34" s="1"/>
  <c r="AF82" i="34"/>
  <c r="AD82" i="34" s="1"/>
  <c r="AB82" i="34" s="1"/>
  <c r="AG82" i="34"/>
  <c r="AE82" i="34" s="1"/>
  <c r="AC82" i="34" s="1"/>
  <c r="AF83" i="34"/>
  <c r="AD83" i="34" s="1"/>
  <c r="AB83" i="34" s="1"/>
  <c r="AG83" i="34"/>
  <c r="AE83" i="34" s="1"/>
  <c r="AC83" i="34" s="1"/>
  <c r="AF84" i="34"/>
  <c r="AD84" i="34" s="1"/>
  <c r="AB84" i="34" s="1"/>
  <c r="AG84" i="34"/>
  <c r="AE84" i="34" s="1"/>
  <c r="AC84" i="34" s="1"/>
  <c r="AF85" i="34"/>
  <c r="AD85" i="34" s="1"/>
  <c r="AB85" i="34" s="1"/>
  <c r="AG85" i="34"/>
  <c r="AE85" i="34" s="1"/>
  <c r="AC85" i="34" s="1"/>
  <c r="Y65" i="34"/>
  <c r="Y66" i="34"/>
  <c r="Y67" i="34"/>
  <c r="Y68" i="34"/>
  <c r="Y69" i="34"/>
  <c r="Y71" i="34"/>
  <c r="Y72" i="34"/>
  <c r="Y73" i="34"/>
  <c r="Y74" i="34"/>
  <c r="Y75" i="34"/>
  <c r="Y76" i="34"/>
  <c r="Y77" i="34"/>
  <c r="Y79" i="34"/>
  <c r="Y80" i="34"/>
  <c r="Y81" i="34"/>
  <c r="Y82" i="34"/>
  <c r="Y83" i="34"/>
  <c r="Y84" i="34"/>
  <c r="Y85" i="34"/>
  <c r="Y64" i="34"/>
  <c r="X64" i="34"/>
  <c r="X65" i="34"/>
  <c r="X66" i="34"/>
  <c r="X67" i="34"/>
  <c r="X68" i="34"/>
  <c r="X69" i="34"/>
  <c r="X71" i="34"/>
  <c r="X72" i="34"/>
  <c r="X73" i="34"/>
  <c r="X74" i="34"/>
  <c r="X75" i="34"/>
  <c r="X76" i="34"/>
  <c r="X77" i="34"/>
  <c r="X79" i="34"/>
  <c r="X80" i="34"/>
  <c r="X81" i="34"/>
  <c r="X82" i="34"/>
  <c r="X83" i="34"/>
  <c r="X84" i="34"/>
  <c r="X85" i="34"/>
  <c r="L64" i="34"/>
  <c r="N64" i="34" s="1"/>
  <c r="M64" i="34"/>
  <c r="O64" i="34" s="1"/>
  <c r="L65" i="34"/>
  <c r="N65" i="34" s="1"/>
  <c r="M65" i="34"/>
  <c r="O65" i="34" s="1"/>
  <c r="L66" i="34"/>
  <c r="N66" i="34" s="1"/>
  <c r="M66" i="34"/>
  <c r="O66" i="34" s="1"/>
  <c r="L67" i="34"/>
  <c r="N67" i="34" s="1"/>
  <c r="M67" i="34"/>
  <c r="O67" i="34" s="1"/>
  <c r="L68" i="34"/>
  <c r="N68" i="34" s="1"/>
  <c r="M68" i="34"/>
  <c r="O68" i="34" s="1"/>
  <c r="L69" i="34"/>
  <c r="N69" i="34" s="1"/>
  <c r="M69" i="34"/>
  <c r="O69" i="34" s="1"/>
  <c r="L71" i="34"/>
  <c r="N71" i="34" s="1"/>
  <c r="M71" i="34"/>
  <c r="O71" i="34" s="1"/>
  <c r="L72" i="34"/>
  <c r="N72" i="34" s="1"/>
  <c r="M72" i="34"/>
  <c r="O72" i="34" s="1"/>
  <c r="L73" i="34"/>
  <c r="N73" i="34" s="1"/>
  <c r="M73" i="34"/>
  <c r="O73" i="34" s="1"/>
  <c r="L74" i="34"/>
  <c r="N74" i="34" s="1"/>
  <c r="M74" i="34"/>
  <c r="O74" i="34" s="1"/>
  <c r="L75" i="34"/>
  <c r="N75" i="34" s="1"/>
  <c r="M75" i="34"/>
  <c r="O75" i="34" s="1"/>
  <c r="L76" i="34"/>
  <c r="N76" i="34" s="1"/>
  <c r="M76" i="34"/>
  <c r="O76" i="34" s="1"/>
  <c r="L77" i="34"/>
  <c r="N77" i="34" s="1"/>
  <c r="M77" i="34"/>
  <c r="O77" i="34" s="1"/>
  <c r="L79" i="34"/>
  <c r="N79" i="34" s="1"/>
  <c r="M79" i="34"/>
  <c r="O79" i="34" s="1"/>
  <c r="L80" i="34"/>
  <c r="N80" i="34" s="1"/>
  <c r="M80" i="34"/>
  <c r="O80" i="34" s="1"/>
  <c r="L81" i="34"/>
  <c r="N81" i="34" s="1"/>
  <c r="M81" i="34"/>
  <c r="O81" i="34" s="1"/>
  <c r="L82" i="34"/>
  <c r="N82" i="34" s="1"/>
  <c r="M82" i="34"/>
  <c r="O82" i="34" s="1"/>
  <c r="L83" i="34"/>
  <c r="N83" i="34" s="1"/>
  <c r="M83" i="34"/>
  <c r="O83" i="34" s="1"/>
  <c r="L84" i="34"/>
  <c r="N84" i="34" s="1"/>
  <c r="M84" i="34"/>
  <c r="O84" i="34" s="1"/>
  <c r="L85" i="34"/>
  <c r="N85" i="34" s="1"/>
  <c r="M85" i="34"/>
  <c r="O85" i="34" s="1"/>
  <c r="G90" i="34"/>
  <c r="K91" i="34" s="1"/>
  <c r="K94" i="34" s="1"/>
  <c r="Q90" i="34"/>
  <c r="U91" i="34" s="1"/>
  <c r="U94" i="34" s="1"/>
  <c r="AA90" i="34"/>
  <c r="AE91" i="34" s="1"/>
  <c r="AE94" i="34" s="1"/>
  <c r="AK90" i="34"/>
  <c r="AO91" i="34" s="1"/>
  <c r="AO94" i="34" s="1"/>
  <c r="Q90" i="33"/>
  <c r="G90" i="33"/>
  <c r="AA90" i="33"/>
  <c r="AK90" i="33"/>
  <c r="G92" i="33"/>
  <c r="G89" i="33"/>
  <c r="G46" i="34"/>
  <c r="AA44" i="34"/>
  <c r="Q44" i="34"/>
  <c r="G44" i="34"/>
  <c r="AD37" i="34"/>
  <c r="AC37" i="33"/>
  <c r="AD37" i="33"/>
  <c r="AF37" i="33"/>
  <c r="AG37" i="33"/>
  <c r="AH37" i="33"/>
  <c r="AB37" i="33"/>
  <c r="AE29" i="33"/>
  <c r="AF29" i="33"/>
  <c r="AH29" i="33"/>
  <c r="AI29" i="33"/>
  <c r="AU44" i="31"/>
  <c r="AK44" i="31"/>
  <c r="U120" i="35" l="1"/>
  <c r="U121" i="35"/>
  <c r="J94" i="34"/>
  <c r="J93" i="34"/>
  <c r="B90" i="35"/>
  <c r="AH37" i="30" s="1"/>
  <c r="B44" i="35"/>
  <c r="AH31" i="30" s="1"/>
  <c r="K47" i="35"/>
  <c r="K46" i="35"/>
  <c r="H47" i="35" s="1"/>
  <c r="U93" i="34"/>
  <c r="U92" i="34"/>
  <c r="U47" i="36"/>
  <c r="U46" i="36"/>
  <c r="K93" i="34"/>
  <c r="K92" i="34"/>
  <c r="AE46" i="35"/>
  <c r="AE47" i="35"/>
  <c r="AE45" i="36"/>
  <c r="AE48" i="36" s="1"/>
  <c r="AE46" i="36"/>
  <c r="AE47" i="36"/>
  <c r="K47" i="36"/>
  <c r="K46" i="36"/>
  <c r="AE93" i="34"/>
  <c r="AE92" i="34"/>
  <c r="K47" i="34"/>
  <c r="K46" i="34"/>
  <c r="U47" i="34"/>
  <c r="U46" i="34"/>
  <c r="AE92" i="35"/>
  <c r="H94" i="35" s="1"/>
  <c r="AE93" i="35"/>
  <c r="AE47" i="34"/>
  <c r="AE46" i="34"/>
  <c r="AO93" i="34"/>
  <c r="AO92" i="34"/>
  <c r="AO93" i="35"/>
  <c r="AO92" i="35"/>
  <c r="AO91" i="33"/>
  <c r="AO94" i="33" s="1"/>
  <c r="AO93" i="33"/>
  <c r="AO92" i="33"/>
  <c r="AE93" i="33"/>
  <c r="AE92" i="33"/>
  <c r="K92" i="33"/>
  <c r="K93" i="33"/>
  <c r="U91" i="33"/>
  <c r="U94" i="33" s="1"/>
  <c r="U93" i="33"/>
  <c r="U92" i="33"/>
  <c r="AO47" i="31"/>
  <c r="AO46" i="31"/>
  <c r="AY47" i="31"/>
  <c r="AY46" i="31"/>
  <c r="U119" i="35"/>
  <c r="G45" i="36"/>
  <c r="AF31" i="30" s="1"/>
  <c r="P36" i="30" s="1"/>
  <c r="W119" i="34"/>
  <c r="W120" i="34"/>
  <c r="M121" i="34"/>
  <c r="M119" i="34"/>
  <c r="W105" i="34"/>
  <c r="M105" i="34"/>
  <c r="M107" i="34" s="1"/>
  <c r="G45" i="35"/>
  <c r="AG31" i="30" s="1"/>
  <c r="G91" i="35"/>
  <c r="AG37" i="30" s="1"/>
  <c r="AK44" i="36"/>
  <c r="K45" i="36"/>
  <c r="K48" i="36" s="1"/>
  <c r="U45" i="36"/>
  <c r="U48" i="36" s="1"/>
  <c r="AE91" i="35"/>
  <c r="AE94" i="35" s="1"/>
  <c r="J94" i="35" s="1"/>
  <c r="K45" i="35"/>
  <c r="K48" i="35" s="1"/>
  <c r="J47" i="35" s="1"/>
  <c r="K91" i="35"/>
  <c r="K94" i="35" s="1"/>
  <c r="J93" i="35" s="1"/>
  <c r="AO91" i="35"/>
  <c r="AO94" i="35" s="1"/>
  <c r="AK44" i="35"/>
  <c r="U47" i="35"/>
  <c r="AU90" i="35"/>
  <c r="U93" i="35"/>
  <c r="U45" i="35"/>
  <c r="U48" i="35" s="1"/>
  <c r="AE45" i="35"/>
  <c r="AE48" i="35" s="1"/>
  <c r="J48" i="35" s="1"/>
  <c r="G53" i="35" s="1"/>
  <c r="K93" i="35"/>
  <c r="U92" i="35"/>
  <c r="G92" i="34"/>
  <c r="K91" i="33"/>
  <c r="K94" i="33" s="1"/>
  <c r="AE91" i="33"/>
  <c r="AE94" i="33" s="1"/>
  <c r="AE45" i="34"/>
  <c r="AE48" i="34" s="1"/>
  <c r="K45" i="34"/>
  <c r="K48" i="34" s="1"/>
  <c r="U45" i="34"/>
  <c r="U48" i="34" s="1"/>
  <c r="AK44" i="34"/>
  <c r="AY45" i="31"/>
  <c r="BE44" i="31"/>
  <c r="G46" i="33"/>
  <c r="AA44" i="33"/>
  <c r="Q44" i="33"/>
  <c r="G44" i="33"/>
  <c r="G99" i="35" l="1"/>
  <c r="AG38" i="30" s="1"/>
  <c r="G99" i="34"/>
  <c r="AE38" i="30" s="1"/>
  <c r="H47" i="34"/>
  <c r="J47" i="34"/>
  <c r="J47" i="36"/>
  <c r="AH30" i="30"/>
  <c r="AG30" i="30"/>
  <c r="J94" i="33"/>
  <c r="J93" i="33"/>
  <c r="H93" i="34"/>
  <c r="I47" i="36"/>
  <c r="I47" i="35"/>
  <c r="AO47" i="34"/>
  <c r="I48" i="34" s="1"/>
  <c r="AO46" i="34"/>
  <c r="AY92" i="35"/>
  <c r="AY93" i="35"/>
  <c r="AO46" i="36"/>
  <c r="H48" i="36" s="1"/>
  <c r="AO47" i="36"/>
  <c r="I48" i="36" s="1"/>
  <c r="AO47" i="35"/>
  <c r="AO46" i="35"/>
  <c r="H48" i="35" s="1"/>
  <c r="K46" i="33"/>
  <c r="K47" i="33"/>
  <c r="U47" i="33"/>
  <c r="U46" i="33"/>
  <c r="AE46" i="33"/>
  <c r="AE47" i="33"/>
  <c r="BI47" i="31"/>
  <c r="BI46" i="31"/>
  <c r="M108" i="34"/>
  <c r="W108" i="34"/>
  <c r="W107" i="34"/>
  <c r="H47" i="36"/>
  <c r="AO45" i="36"/>
  <c r="AO48" i="36" s="1"/>
  <c r="J48" i="36" s="1"/>
  <c r="AU44" i="36"/>
  <c r="I93" i="34"/>
  <c r="I94" i="35"/>
  <c r="BE90" i="35"/>
  <c r="AY91" i="35"/>
  <c r="AY94" i="35" s="1"/>
  <c r="J95" i="35" s="1"/>
  <c r="I47" i="34"/>
  <c r="AU44" i="35"/>
  <c r="AO45" i="35"/>
  <c r="AO48" i="35" s="1"/>
  <c r="I48" i="35"/>
  <c r="H93" i="33"/>
  <c r="I93" i="33"/>
  <c r="H94" i="34"/>
  <c r="I94" i="34"/>
  <c r="AU90" i="33"/>
  <c r="I94" i="33"/>
  <c r="H94" i="33"/>
  <c r="AO45" i="34"/>
  <c r="AO48" i="34" s="1"/>
  <c r="J48" i="34" s="1"/>
  <c r="U45" i="33"/>
  <c r="U48" i="33" s="1"/>
  <c r="BI45" i="31"/>
  <c r="AE45" i="33"/>
  <c r="AE48" i="33" s="1"/>
  <c r="AK44" i="33"/>
  <c r="K45" i="33"/>
  <c r="K48" i="33" s="1"/>
  <c r="AA44" i="31"/>
  <c r="G46" i="31"/>
  <c r="T12" i="30"/>
  <c r="G53" i="34" l="1"/>
  <c r="AE30" i="30" s="1"/>
  <c r="AI35" i="30"/>
  <c r="AH38" i="30"/>
  <c r="AI36" i="30"/>
  <c r="G99" i="33"/>
  <c r="AD38" i="30" s="1"/>
  <c r="J47" i="33"/>
  <c r="AY47" i="36"/>
  <c r="AY46" i="36"/>
  <c r="AY46" i="35"/>
  <c r="AY47" i="35"/>
  <c r="BI93" i="35"/>
  <c r="I95" i="35" s="1"/>
  <c r="BI92" i="35"/>
  <c r="H95" i="35" s="1"/>
  <c r="AO47" i="33"/>
  <c r="I48" i="33" s="1"/>
  <c r="AO46" i="33"/>
  <c r="H48" i="33" s="1"/>
  <c r="AY91" i="33"/>
  <c r="AY94" i="33" s="1"/>
  <c r="AY92" i="33"/>
  <c r="AY93" i="33"/>
  <c r="AE47" i="31"/>
  <c r="I48" i="31" s="1"/>
  <c r="AE46" i="31"/>
  <c r="H48" i="31" s="1"/>
  <c r="G52" i="34"/>
  <c r="AE29" i="30" s="1"/>
  <c r="G98" i="34"/>
  <c r="AE36" i="30" s="1"/>
  <c r="G97" i="34"/>
  <c r="AE35" i="30" s="1"/>
  <c r="BE44" i="36"/>
  <c r="AY45" i="36"/>
  <c r="AY48" i="36" s="1"/>
  <c r="H47" i="33"/>
  <c r="I47" i="33"/>
  <c r="AY45" i="35"/>
  <c r="AY48" i="35" s="1"/>
  <c r="J49" i="35" s="1"/>
  <c r="BE44" i="35"/>
  <c r="BI91" i="35"/>
  <c r="BI94" i="35" s="1"/>
  <c r="H48" i="34"/>
  <c r="I49" i="31"/>
  <c r="H49" i="31"/>
  <c r="BE90" i="33"/>
  <c r="AU44" i="33"/>
  <c r="AO45" i="33"/>
  <c r="AO48" i="33" s="1"/>
  <c r="J48" i="33" s="1"/>
  <c r="AE45" i="31"/>
  <c r="G32" i="30"/>
  <c r="Q44" i="31"/>
  <c r="G44" i="31"/>
  <c r="G45" i="31" s="1"/>
  <c r="AD15" i="30"/>
  <c r="G53" i="33" l="1"/>
  <c r="AD30" i="30" s="1"/>
  <c r="N89" i="41"/>
  <c r="AX43" i="41"/>
  <c r="H89" i="41"/>
  <c r="L89" i="41"/>
  <c r="AH89" i="41"/>
  <c r="AF89" i="41"/>
  <c r="AV43" i="41"/>
  <c r="J89" i="41"/>
  <c r="J43" i="41"/>
  <c r="R89" i="41"/>
  <c r="AB89" i="41"/>
  <c r="AF43" i="41"/>
  <c r="AD43" i="41"/>
  <c r="AX89" i="41"/>
  <c r="AD89" i="41"/>
  <c r="N43" i="41"/>
  <c r="L43" i="41"/>
  <c r="AV89" i="41"/>
  <c r="AZ43" i="41"/>
  <c r="BB43" i="41"/>
  <c r="H43" i="41"/>
  <c r="BB89" i="41"/>
  <c r="AB43" i="41"/>
  <c r="AZ89" i="41"/>
  <c r="AH43" i="41"/>
  <c r="AI28" i="30"/>
  <c r="AI29" i="30"/>
  <c r="Q89" i="41"/>
  <c r="AK43" i="41"/>
  <c r="AU43" i="41" s="1"/>
  <c r="BE43" i="41" s="1"/>
  <c r="Q43" i="41"/>
  <c r="AK89" i="41"/>
  <c r="AU89" i="41" s="1"/>
  <c r="BE89" i="41" s="1"/>
  <c r="AA43" i="41"/>
  <c r="G43" i="41"/>
  <c r="AA89" i="41"/>
  <c r="J48" i="31"/>
  <c r="J47" i="31"/>
  <c r="J49" i="31"/>
  <c r="BI47" i="36"/>
  <c r="I49" i="36" s="1"/>
  <c r="BI46" i="36"/>
  <c r="H49" i="36" s="1"/>
  <c r="BI47" i="35"/>
  <c r="I49" i="35" s="1"/>
  <c r="BI46" i="35"/>
  <c r="BI91" i="33"/>
  <c r="BI94" i="33" s="1"/>
  <c r="J95" i="33" s="1"/>
  <c r="BI93" i="33"/>
  <c r="BI92" i="33"/>
  <c r="AY46" i="33"/>
  <c r="AY47" i="33"/>
  <c r="U45" i="31"/>
  <c r="U46" i="31"/>
  <c r="U47" i="31"/>
  <c r="K47" i="31"/>
  <c r="K46" i="31"/>
  <c r="G97" i="35"/>
  <c r="G98" i="35"/>
  <c r="G51" i="34"/>
  <c r="AE28" i="30" s="1"/>
  <c r="Q43" i="36"/>
  <c r="G43" i="36"/>
  <c r="AA43" i="36"/>
  <c r="AK43" i="36"/>
  <c r="AU43" i="36" s="1"/>
  <c r="BE43" i="36" s="1"/>
  <c r="BE42" i="36"/>
  <c r="Q42" i="36"/>
  <c r="AA42" i="36"/>
  <c r="AU42" i="36"/>
  <c r="AK42" i="36"/>
  <c r="G42" i="36"/>
  <c r="BI45" i="36"/>
  <c r="BI48" i="36" s="1"/>
  <c r="J49" i="36" s="1"/>
  <c r="G53" i="36" s="1"/>
  <c r="AF30" i="30" s="1"/>
  <c r="H49" i="35"/>
  <c r="BI45" i="35"/>
  <c r="AA88" i="35"/>
  <c r="AA42" i="35"/>
  <c r="AK42" i="35"/>
  <c r="BE88" i="35"/>
  <c r="Q88" i="35"/>
  <c r="BE42" i="35"/>
  <c r="Q42" i="35"/>
  <c r="AK88" i="35"/>
  <c r="AU88" i="35"/>
  <c r="G88" i="35"/>
  <c r="AU42" i="35"/>
  <c r="G42" i="35"/>
  <c r="AK43" i="35"/>
  <c r="AU43" i="35" s="1"/>
  <c r="BE43" i="35" s="1"/>
  <c r="AA43" i="35"/>
  <c r="AA89" i="35"/>
  <c r="Q43" i="35"/>
  <c r="AK89" i="35"/>
  <c r="AU89" i="35" s="1"/>
  <c r="BE89" i="35" s="1"/>
  <c r="Q89" i="35"/>
  <c r="G43" i="35"/>
  <c r="AA89" i="34"/>
  <c r="Q89" i="34"/>
  <c r="G89" i="34"/>
  <c r="AK89" i="34"/>
  <c r="G88" i="34"/>
  <c r="AK88" i="34"/>
  <c r="AA88" i="34"/>
  <c r="Q88" i="34"/>
  <c r="AA89" i="33"/>
  <c r="Q89" i="33"/>
  <c r="AU88" i="33"/>
  <c r="AK88" i="33"/>
  <c r="Q88" i="33"/>
  <c r="AA88" i="33"/>
  <c r="G88" i="33"/>
  <c r="BE88" i="33"/>
  <c r="AK89" i="33"/>
  <c r="AU89" i="33" s="1"/>
  <c r="BE89" i="33" s="1"/>
  <c r="AA42" i="34"/>
  <c r="AK42" i="34"/>
  <c r="Q42" i="34"/>
  <c r="G42" i="34"/>
  <c r="AK43" i="34"/>
  <c r="G43" i="34"/>
  <c r="AA43" i="34"/>
  <c r="Q43" i="34"/>
  <c r="BE42" i="33"/>
  <c r="AU42" i="33"/>
  <c r="AY45" i="33"/>
  <c r="AY48" i="33" s="1"/>
  <c r="BE44" i="33"/>
  <c r="BE42" i="31"/>
  <c r="AU42" i="31"/>
  <c r="AK42" i="33"/>
  <c r="AA42" i="33"/>
  <c r="Q42" i="33"/>
  <c r="G42" i="33"/>
  <c r="Q43" i="31"/>
  <c r="AA43" i="33"/>
  <c r="G43" i="33"/>
  <c r="AK43" i="33"/>
  <c r="AU43" i="33" s="1"/>
  <c r="BE43" i="33" s="1"/>
  <c r="Q43" i="33"/>
  <c r="AO45" i="31"/>
  <c r="AA42" i="31"/>
  <c r="AK42" i="31"/>
  <c r="G43" i="31"/>
  <c r="AK43" i="31"/>
  <c r="AU43" i="31" s="1"/>
  <c r="BE43" i="31" s="1"/>
  <c r="AA43" i="31"/>
  <c r="K45" i="31"/>
  <c r="Q42" i="31"/>
  <c r="G42" i="31"/>
  <c r="G53" i="31" l="1"/>
  <c r="AC30" i="30" s="1"/>
  <c r="S40" i="30" s="1"/>
  <c r="AG36" i="30"/>
  <c r="AH36" i="30"/>
  <c r="AG35" i="30"/>
  <c r="AH35" i="30"/>
  <c r="AC42" i="36"/>
  <c r="AB42" i="36"/>
  <c r="BI88" i="35"/>
  <c r="BH88" i="35"/>
  <c r="BJ88" i="35"/>
  <c r="BG88" i="35"/>
  <c r="BF88" i="35"/>
  <c r="BM88" i="35"/>
  <c r="BL88" i="35"/>
  <c r="BK88" i="35"/>
  <c r="T42" i="36"/>
  <c r="S42" i="36"/>
  <c r="W42" i="36"/>
  <c r="U42" i="36"/>
  <c r="R42" i="36"/>
  <c r="X42" i="36"/>
  <c r="V42" i="36"/>
  <c r="AD88" i="34"/>
  <c r="AB88" i="34"/>
  <c r="AC88" i="34"/>
  <c r="AI88" i="34"/>
  <c r="AH88" i="34"/>
  <c r="AG88" i="34"/>
  <c r="AF88" i="34"/>
  <c r="AE88" i="34"/>
  <c r="AN88" i="34"/>
  <c r="AM88" i="34"/>
  <c r="AL88" i="34"/>
  <c r="AS88" i="34"/>
  <c r="AO88" i="34"/>
  <c r="AR88" i="34"/>
  <c r="AQ88" i="34"/>
  <c r="AP88" i="34"/>
  <c r="T88" i="34"/>
  <c r="R88" i="34"/>
  <c r="S88" i="34"/>
  <c r="Y88" i="34"/>
  <c r="X88" i="34"/>
  <c r="W88" i="34"/>
  <c r="V88" i="34"/>
  <c r="U88" i="34"/>
  <c r="BI47" i="33"/>
  <c r="BI46" i="33"/>
  <c r="AW88" i="33"/>
  <c r="AV102" i="41" s="1"/>
  <c r="AY105" i="41" s="1"/>
  <c r="AW42" i="33"/>
  <c r="AV114" i="41" s="1"/>
  <c r="AY117" i="41" s="1"/>
  <c r="M117" i="41" s="1"/>
  <c r="AY42" i="33"/>
  <c r="AX114" i="41" s="1"/>
  <c r="AX42" i="33"/>
  <c r="AV88" i="33"/>
  <c r="AV42" i="33"/>
  <c r="BB42" i="33"/>
  <c r="BA42" i="33"/>
  <c r="AZ114" i="41" s="1"/>
  <c r="AY88" i="33"/>
  <c r="AX102" i="41" s="1"/>
  <c r="BC88" i="33"/>
  <c r="BC42" i="33"/>
  <c r="BB88" i="33"/>
  <c r="BA88" i="33"/>
  <c r="AZ102" i="41" s="1"/>
  <c r="AZ42" i="33"/>
  <c r="AX88" i="33"/>
  <c r="AZ88" i="33"/>
  <c r="AM88" i="33"/>
  <c r="AL88" i="33"/>
  <c r="AS88" i="33"/>
  <c r="AR89" i="41" s="1"/>
  <c r="AR88" i="33"/>
  <c r="AO88" i="33"/>
  <c r="AN88" i="33"/>
  <c r="AQ88" i="33"/>
  <c r="AP88" i="33"/>
  <c r="AC42" i="33"/>
  <c r="AB114" i="41" s="1"/>
  <c r="AG42" i="33"/>
  <c r="AF114" i="41" s="1"/>
  <c r="AB42" i="33"/>
  <c r="AF42" i="33"/>
  <c r="AE42" i="33"/>
  <c r="AD114" i="41" s="1"/>
  <c r="AD42" i="33"/>
  <c r="AI42" i="33"/>
  <c r="AH42" i="33"/>
  <c r="S42" i="33"/>
  <c r="R42" i="33"/>
  <c r="Y42" i="33"/>
  <c r="X43" i="41" s="1"/>
  <c r="X42" i="33"/>
  <c r="T42" i="33"/>
  <c r="W42" i="33"/>
  <c r="V42" i="33"/>
  <c r="U42" i="33"/>
  <c r="T43" i="41" s="1"/>
  <c r="T114" i="41" s="1"/>
  <c r="AM42" i="33"/>
  <c r="AL43" i="41" s="1"/>
  <c r="AL114" i="41" s="1"/>
  <c r="AL42" i="33"/>
  <c r="AS42" i="33"/>
  <c r="AR43" i="41" s="1"/>
  <c r="AR42" i="33"/>
  <c r="AQ42" i="33"/>
  <c r="AP42" i="33"/>
  <c r="AO42" i="33"/>
  <c r="AN42" i="33"/>
  <c r="BG88" i="33"/>
  <c r="BH88" i="33"/>
  <c r="BF88" i="33"/>
  <c r="BM88" i="33"/>
  <c r="BL88" i="33"/>
  <c r="BK88" i="33"/>
  <c r="BI88" i="33"/>
  <c r="BH89" i="41" s="1"/>
  <c r="BH102" i="41" s="1"/>
  <c r="BJ88" i="33"/>
  <c r="I88" i="33"/>
  <c r="H102" i="41" s="1"/>
  <c r="M88" i="33"/>
  <c r="L102" i="41" s="1"/>
  <c r="L88" i="33"/>
  <c r="H88" i="33"/>
  <c r="O88" i="33"/>
  <c r="N88" i="33"/>
  <c r="J88" i="33"/>
  <c r="K88" i="33"/>
  <c r="J102" i="41" s="1"/>
  <c r="AC88" i="33"/>
  <c r="AB102" i="41" s="1"/>
  <c r="AE105" i="41" s="1"/>
  <c r="L105" i="41" s="1"/>
  <c r="AB88" i="33"/>
  <c r="AD88" i="33"/>
  <c r="AI88" i="33"/>
  <c r="AH88" i="33"/>
  <c r="AE88" i="33"/>
  <c r="AD102" i="41" s="1"/>
  <c r="AG88" i="33"/>
  <c r="AF102" i="41" s="1"/>
  <c r="AF88" i="33"/>
  <c r="I42" i="33"/>
  <c r="H114" i="41" s="1"/>
  <c r="K42" i="33"/>
  <c r="J114" i="41" s="1"/>
  <c r="H42" i="33"/>
  <c r="O42" i="33"/>
  <c r="N42" i="33"/>
  <c r="M42" i="33"/>
  <c r="L114" i="41" s="1"/>
  <c r="L42" i="33"/>
  <c r="J42" i="33"/>
  <c r="BG42" i="33"/>
  <c r="BF42" i="33"/>
  <c r="BM42" i="33"/>
  <c r="BL42" i="33"/>
  <c r="BJ42" i="33"/>
  <c r="BI42" i="33"/>
  <c r="BH42" i="33"/>
  <c r="BK42" i="33"/>
  <c r="BJ43" i="41" s="1"/>
  <c r="BJ114" i="41" s="1"/>
  <c r="S88" i="33"/>
  <c r="R102" i="41" s="1"/>
  <c r="R88" i="33"/>
  <c r="U88" i="33"/>
  <c r="Y88" i="33"/>
  <c r="X88" i="33"/>
  <c r="T88" i="33"/>
  <c r="W88" i="33"/>
  <c r="V88" i="33"/>
  <c r="AV42" i="31"/>
  <c r="AX42" i="31"/>
  <c r="AW42" i="31"/>
  <c r="BA42" i="31"/>
  <c r="AZ42" i="31"/>
  <c r="BC42" i="31"/>
  <c r="BB42" i="31"/>
  <c r="AY42" i="31"/>
  <c r="BJ42" i="31"/>
  <c r="BI42" i="31"/>
  <c r="BH42" i="31"/>
  <c r="BG42" i="31"/>
  <c r="BF42" i="31"/>
  <c r="BM42" i="31"/>
  <c r="BL42" i="31"/>
  <c r="BK42" i="31"/>
  <c r="N42" i="31"/>
  <c r="J42" i="31"/>
  <c r="H42" i="31"/>
  <c r="O42" i="31"/>
  <c r="M42" i="31"/>
  <c r="L42" i="31"/>
  <c r="K42" i="31"/>
  <c r="I42" i="31"/>
  <c r="AH42" i="31"/>
  <c r="AD42" i="31"/>
  <c r="AC42" i="31"/>
  <c r="AB42" i="31"/>
  <c r="AI42" i="31"/>
  <c r="AG42" i="31"/>
  <c r="AF42" i="31"/>
  <c r="AE42" i="31"/>
  <c r="X42" i="31"/>
  <c r="V42" i="31"/>
  <c r="R42" i="31"/>
  <c r="T42" i="31"/>
  <c r="Y42" i="31"/>
  <c r="W42" i="31"/>
  <c r="S42" i="31"/>
  <c r="U42" i="31"/>
  <c r="AS42" i="31"/>
  <c r="AQ42" i="31"/>
  <c r="AP42" i="31"/>
  <c r="AM42" i="31"/>
  <c r="AR42" i="31"/>
  <c r="AN42" i="31"/>
  <c r="AL42" i="31"/>
  <c r="AO42" i="31"/>
  <c r="G52" i="36"/>
  <c r="AF29" i="30" s="1"/>
  <c r="G51" i="36"/>
  <c r="AF28" i="30" s="1"/>
  <c r="G52" i="35"/>
  <c r="G51" i="35"/>
  <c r="BB42" i="36"/>
  <c r="AW42" i="36"/>
  <c r="AV42" i="36"/>
  <c r="AY42" i="36"/>
  <c r="AZ42" i="36"/>
  <c r="BC42" i="36"/>
  <c r="BA42" i="36"/>
  <c r="AX42" i="36"/>
  <c r="AI42" i="36"/>
  <c r="AD42" i="36"/>
  <c r="AH42" i="36"/>
  <c r="AE42" i="36"/>
  <c r="AG42" i="36"/>
  <c r="AF42" i="36"/>
  <c r="O42" i="36"/>
  <c r="M42" i="36"/>
  <c r="L42" i="36"/>
  <c r="K42" i="36"/>
  <c r="J42" i="36"/>
  <c r="I42" i="36"/>
  <c r="H42" i="36"/>
  <c r="N42" i="36"/>
  <c r="Y42" i="36"/>
  <c r="AL42" i="36"/>
  <c r="AM42" i="36"/>
  <c r="AQ42" i="36"/>
  <c r="AR42" i="36"/>
  <c r="AS42" i="36"/>
  <c r="AP42" i="36"/>
  <c r="AN42" i="36"/>
  <c r="AO42" i="36"/>
  <c r="BL42" i="36"/>
  <c r="BK42" i="36"/>
  <c r="BG42" i="36"/>
  <c r="BH42" i="36"/>
  <c r="BM42" i="36"/>
  <c r="BF42" i="36"/>
  <c r="BI42" i="36"/>
  <c r="BJ42" i="36"/>
  <c r="AY88" i="35"/>
  <c r="AX88" i="35"/>
  <c r="AW88" i="35"/>
  <c r="AV88" i="35"/>
  <c r="BC88" i="35"/>
  <c r="BB88" i="35"/>
  <c r="BA88" i="35"/>
  <c r="AZ88" i="35"/>
  <c r="H47" i="31"/>
  <c r="G51" i="31" s="1"/>
  <c r="I47" i="31"/>
  <c r="G52" i="31" s="1"/>
  <c r="AM88" i="35"/>
  <c r="AQ88" i="35"/>
  <c r="AN88" i="35"/>
  <c r="AR88" i="35"/>
  <c r="AS88" i="35"/>
  <c r="AO88" i="35"/>
  <c r="AL88" i="35"/>
  <c r="AP88" i="35"/>
  <c r="T42" i="35"/>
  <c r="R42" i="35"/>
  <c r="W42" i="35"/>
  <c r="X42" i="35"/>
  <c r="S42" i="35"/>
  <c r="Y42" i="35"/>
  <c r="U42" i="35"/>
  <c r="V42" i="35"/>
  <c r="BL42" i="35"/>
  <c r="BF42" i="35"/>
  <c r="BM42" i="35"/>
  <c r="BJ42" i="35"/>
  <c r="BH42" i="35"/>
  <c r="BI42" i="35"/>
  <c r="BK42" i="35"/>
  <c r="BG42" i="35"/>
  <c r="T88" i="35"/>
  <c r="Y88" i="35"/>
  <c r="R88" i="35"/>
  <c r="X88" i="35"/>
  <c r="S88" i="35"/>
  <c r="V88" i="35"/>
  <c r="W88" i="35"/>
  <c r="U88" i="35"/>
  <c r="K42" i="35"/>
  <c r="L42" i="35"/>
  <c r="M42" i="35"/>
  <c r="N42" i="35"/>
  <c r="O42" i="35"/>
  <c r="H42" i="35"/>
  <c r="I42" i="35"/>
  <c r="J42" i="35"/>
  <c r="BC42" i="35"/>
  <c r="AV42" i="35"/>
  <c r="BA42" i="35"/>
  <c r="AX42" i="35"/>
  <c r="AW42" i="35"/>
  <c r="AY42" i="35"/>
  <c r="BB42" i="35"/>
  <c r="AZ42" i="35"/>
  <c r="AN42" i="35"/>
  <c r="AQ42" i="35"/>
  <c r="AP42" i="35"/>
  <c r="AO42" i="35"/>
  <c r="AR42" i="35"/>
  <c r="AS42" i="35"/>
  <c r="AM42" i="35"/>
  <c r="AL42" i="35"/>
  <c r="M88" i="35"/>
  <c r="I88" i="35"/>
  <c r="O88" i="35"/>
  <c r="L88" i="35"/>
  <c r="J88" i="35"/>
  <c r="H88" i="35"/>
  <c r="N88" i="35"/>
  <c r="K88" i="35"/>
  <c r="AI42" i="35"/>
  <c r="AD42" i="35"/>
  <c r="AH42" i="35"/>
  <c r="AB42" i="35"/>
  <c r="AF42" i="35"/>
  <c r="AG42" i="35"/>
  <c r="AC42" i="35"/>
  <c r="AE42" i="35"/>
  <c r="AD88" i="35"/>
  <c r="AE88" i="35"/>
  <c r="AH88" i="35"/>
  <c r="AC88" i="35"/>
  <c r="AF88" i="35"/>
  <c r="AG88" i="35"/>
  <c r="AB88" i="35"/>
  <c r="AI88" i="35"/>
  <c r="J88" i="34"/>
  <c r="M88" i="34"/>
  <c r="O88" i="34"/>
  <c r="I88" i="34"/>
  <c r="N88" i="34"/>
  <c r="L88" i="34"/>
  <c r="K88" i="34"/>
  <c r="I95" i="33"/>
  <c r="H95" i="33"/>
  <c r="H88" i="34"/>
  <c r="AN42" i="34"/>
  <c r="AR42" i="34"/>
  <c r="AS42" i="34"/>
  <c r="AO42" i="34"/>
  <c r="AL42" i="34"/>
  <c r="AP42" i="34"/>
  <c r="AQ42" i="34"/>
  <c r="AM42" i="34"/>
  <c r="AC42" i="34"/>
  <c r="AF42" i="34"/>
  <c r="AG42" i="34"/>
  <c r="AH42" i="34"/>
  <c r="AI42" i="34"/>
  <c r="AE42" i="34"/>
  <c r="AB42" i="34"/>
  <c r="AD42" i="34"/>
  <c r="O42" i="34"/>
  <c r="N42" i="34"/>
  <c r="I42" i="34"/>
  <c r="J42" i="34"/>
  <c r="H42" i="34"/>
  <c r="L42" i="34"/>
  <c r="K42" i="34"/>
  <c r="M42" i="34"/>
  <c r="V42" i="34"/>
  <c r="U42" i="34"/>
  <c r="T42" i="34"/>
  <c r="X42" i="34"/>
  <c r="Y42" i="34"/>
  <c r="W42" i="34"/>
  <c r="S42" i="34"/>
  <c r="R42" i="34"/>
  <c r="BI45" i="33"/>
  <c r="BI48" i="33" s="1"/>
  <c r="J49" i="33" s="1"/>
  <c r="BF89" i="41" l="1"/>
  <c r="BF102" i="41" s="1"/>
  <c r="BI105" i="41" s="1"/>
  <c r="X89" i="41"/>
  <c r="X102" i="41" s="1"/>
  <c r="R43" i="41"/>
  <c r="R114" i="41" s="1"/>
  <c r="AL89" i="41"/>
  <c r="AL102" i="41" s="1"/>
  <c r="AN89" i="41"/>
  <c r="AN102" i="41" s="1"/>
  <c r="BL43" i="41"/>
  <c r="BL114" i="41" s="1"/>
  <c r="V89" i="41"/>
  <c r="V102" i="41" s="1"/>
  <c r="AP89" i="41"/>
  <c r="AP102" i="41" s="1"/>
  <c r="BJ89" i="41"/>
  <c r="BJ102" i="41" s="1"/>
  <c r="V43" i="41"/>
  <c r="V114" i="41" s="1"/>
  <c r="AP43" i="41"/>
  <c r="AP114" i="41" s="1"/>
  <c r="BF43" i="41"/>
  <c r="BF114" i="41" s="1"/>
  <c r="AN43" i="41"/>
  <c r="AN114" i="41" s="1"/>
  <c r="BH43" i="41"/>
  <c r="BH114" i="41" s="1"/>
  <c r="BL89" i="41"/>
  <c r="BL102" i="41" s="1"/>
  <c r="T89" i="41"/>
  <c r="T102" i="41" s="1"/>
  <c r="AE44" i="41"/>
  <c r="G48" i="41" s="1"/>
  <c r="AH114" i="41"/>
  <c r="AE117" i="41" s="1"/>
  <c r="L117" i="41" s="1"/>
  <c r="N102" i="41"/>
  <c r="K90" i="41"/>
  <c r="G93" i="41" s="1"/>
  <c r="N114" i="41"/>
  <c r="K117" i="41" s="1"/>
  <c r="K44" i="41"/>
  <c r="G47" i="41" s="1"/>
  <c r="AH102" i="41"/>
  <c r="AE90" i="41"/>
  <c r="G94" i="41" s="1"/>
  <c r="AR114" i="41"/>
  <c r="X114" i="41"/>
  <c r="AR102" i="41"/>
  <c r="BB114" i="41"/>
  <c r="AY44" i="41"/>
  <c r="G49" i="41" s="1"/>
  <c r="BB102" i="41"/>
  <c r="AY90" i="41"/>
  <c r="G95" i="41" s="1"/>
  <c r="M119" i="41"/>
  <c r="M121" i="41"/>
  <c r="M120" i="41"/>
  <c r="L107" i="41"/>
  <c r="L108" i="41"/>
  <c r="L109" i="41"/>
  <c r="K105" i="41"/>
  <c r="W105" i="41"/>
  <c r="M105" i="41"/>
  <c r="AG28" i="30"/>
  <c r="AH28" i="30"/>
  <c r="AG29" i="30"/>
  <c r="AH29" i="30"/>
  <c r="AX89" i="35"/>
  <c r="G97" i="33"/>
  <c r="AD35" i="30" s="1"/>
  <c r="G98" i="33"/>
  <c r="AD36" i="30" s="1"/>
  <c r="V43" i="36"/>
  <c r="V63" i="36" s="1"/>
  <c r="T43" i="36"/>
  <c r="BL43" i="36"/>
  <c r="BL63" i="36" s="1"/>
  <c r="AZ43" i="36"/>
  <c r="AZ63" i="36" s="1"/>
  <c r="BJ43" i="36"/>
  <c r="BJ63" i="36" s="1"/>
  <c r="N43" i="36"/>
  <c r="N63" i="36" s="1"/>
  <c r="BH43" i="36"/>
  <c r="AF43" i="36"/>
  <c r="AF63" i="36" s="1"/>
  <c r="X43" i="36"/>
  <c r="X63" i="36" s="1"/>
  <c r="AD43" i="36"/>
  <c r="AR43" i="36"/>
  <c r="AR63" i="36" s="1"/>
  <c r="R43" i="36"/>
  <c r="R63" i="36" s="1"/>
  <c r="BH89" i="35"/>
  <c r="AL43" i="36"/>
  <c r="AL63" i="36" s="1"/>
  <c r="AP89" i="35"/>
  <c r="AP102" i="35" s="1"/>
  <c r="V89" i="34"/>
  <c r="V102" i="34" s="1"/>
  <c r="AF89" i="35"/>
  <c r="AF102" i="35" s="1"/>
  <c r="R89" i="35"/>
  <c r="R102" i="35" s="1"/>
  <c r="H43" i="36"/>
  <c r="H63" i="36" s="1"/>
  <c r="AV43" i="36"/>
  <c r="AV63" i="36" s="1"/>
  <c r="J43" i="36"/>
  <c r="AD43" i="35"/>
  <c r="AL89" i="35"/>
  <c r="AL102" i="35" s="1"/>
  <c r="BF43" i="36"/>
  <c r="BF63" i="36" s="1"/>
  <c r="BI66" i="36" s="1"/>
  <c r="W66" i="36" s="1"/>
  <c r="W70" i="36" s="1"/>
  <c r="AP43" i="36"/>
  <c r="AP63" i="36" s="1"/>
  <c r="AB43" i="36"/>
  <c r="AB63" i="36" s="1"/>
  <c r="BB43" i="36"/>
  <c r="BB63" i="36" s="1"/>
  <c r="AB43" i="35"/>
  <c r="AB114" i="35" s="1"/>
  <c r="L43" i="36"/>
  <c r="L63" i="36" s="1"/>
  <c r="AF43" i="35"/>
  <c r="AF114" i="35" s="1"/>
  <c r="AR43" i="35"/>
  <c r="AR114" i="35" s="1"/>
  <c r="AH43" i="36"/>
  <c r="AH63" i="36" s="1"/>
  <c r="AX43" i="36"/>
  <c r="BH43" i="35"/>
  <c r="AN89" i="35"/>
  <c r="AN43" i="36"/>
  <c r="L89" i="34"/>
  <c r="L102" i="34" s="1"/>
  <c r="BB89" i="35"/>
  <c r="BB102" i="35" s="1"/>
  <c r="AV89" i="35"/>
  <c r="AV102" i="35" s="1"/>
  <c r="AV43" i="35"/>
  <c r="AV114" i="35" s="1"/>
  <c r="BJ89" i="35"/>
  <c r="BJ102" i="35" s="1"/>
  <c r="AL43" i="35"/>
  <c r="AL114" i="35" s="1"/>
  <c r="J43" i="35"/>
  <c r="AD89" i="35"/>
  <c r="AP43" i="35"/>
  <c r="AP114" i="35" s="1"/>
  <c r="N43" i="35"/>
  <c r="N114" i="35" s="1"/>
  <c r="AR89" i="35"/>
  <c r="AR102" i="35" s="1"/>
  <c r="AZ89" i="35"/>
  <c r="AZ102" i="35" s="1"/>
  <c r="AH89" i="35"/>
  <c r="AH102" i="35" s="1"/>
  <c r="AZ43" i="35"/>
  <c r="AZ114" i="35" s="1"/>
  <c r="BL89" i="35"/>
  <c r="BL102" i="35" s="1"/>
  <c r="L43" i="35"/>
  <c r="L114" i="35" s="1"/>
  <c r="BL43" i="35"/>
  <c r="BL114" i="35" s="1"/>
  <c r="X89" i="35"/>
  <c r="X102" i="35" s="1"/>
  <c r="BB43" i="35"/>
  <c r="BB114" i="35" s="1"/>
  <c r="BF89" i="35"/>
  <c r="BF102" i="35" s="1"/>
  <c r="T89" i="35"/>
  <c r="T102" i="35" s="1"/>
  <c r="BF43" i="35"/>
  <c r="BF114" i="35" s="1"/>
  <c r="AH43" i="35"/>
  <c r="AH114" i="35" s="1"/>
  <c r="AB89" i="35"/>
  <c r="AB102" i="35" s="1"/>
  <c r="AN43" i="35"/>
  <c r="AX43" i="35"/>
  <c r="H43" i="35"/>
  <c r="H114" i="35" s="1"/>
  <c r="V89" i="35"/>
  <c r="V102" i="35" s="1"/>
  <c r="BJ43" i="35"/>
  <c r="BJ114" i="35" s="1"/>
  <c r="H89" i="34"/>
  <c r="H102" i="34" s="1"/>
  <c r="AV43" i="31"/>
  <c r="AV55" i="31" s="1"/>
  <c r="BB43" i="33"/>
  <c r="BB114" i="33" s="1"/>
  <c r="AZ43" i="31"/>
  <c r="AZ55" i="31" s="1"/>
  <c r="L89" i="33"/>
  <c r="L102" i="33" s="1"/>
  <c r="BH89" i="33"/>
  <c r="AH89" i="33"/>
  <c r="AH102" i="33" s="1"/>
  <c r="BB89" i="33"/>
  <c r="BB102" i="33" s="1"/>
  <c r="T89" i="33"/>
  <c r="AD89" i="34"/>
  <c r="AD89" i="33"/>
  <c r="R89" i="34"/>
  <c r="R102" i="34" s="1"/>
  <c r="X89" i="34"/>
  <c r="X102" i="34" s="1"/>
  <c r="AN89" i="34"/>
  <c r="L43" i="34"/>
  <c r="L114" i="34" s="1"/>
  <c r="AL89" i="33"/>
  <c r="AL102" i="33" s="1"/>
  <c r="H43" i="34"/>
  <c r="H114" i="34" s="1"/>
  <c r="AX89" i="33"/>
  <c r="AP89" i="33"/>
  <c r="AP102" i="33" s="1"/>
  <c r="V89" i="33"/>
  <c r="V102" i="33" s="1"/>
  <c r="AZ89" i="33"/>
  <c r="AZ102" i="33" s="1"/>
  <c r="AB89" i="33"/>
  <c r="AB102" i="33" s="1"/>
  <c r="J89" i="33"/>
  <c r="H49" i="33"/>
  <c r="I49" i="33"/>
  <c r="AR43" i="34"/>
  <c r="AR114" i="34" s="1"/>
  <c r="N89" i="33"/>
  <c r="AB43" i="34"/>
  <c r="AB114" i="34" s="1"/>
  <c r="AN89" i="33"/>
  <c r="AV89" i="33"/>
  <c r="AV102" i="33" s="1"/>
  <c r="AH89" i="34"/>
  <c r="AH102" i="34" s="1"/>
  <c r="AB89" i="34"/>
  <c r="AB102" i="34" s="1"/>
  <c r="T43" i="34"/>
  <c r="N43" i="34"/>
  <c r="N114" i="34" s="1"/>
  <c r="AR89" i="33"/>
  <c r="AR102" i="33" s="1"/>
  <c r="X89" i="33"/>
  <c r="X102" i="33" s="1"/>
  <c r="AL43" i="34"/>
  <c r="AL114" i="34" s="1"/>
  <c r="BF89" i="33"/>
  <c r="BF102" i="33" s="1"/>
  <c r="AL89" i="34"/>
  <c r="AL102" i="34" s="1"/>
  <c r="J89" i="34"/>
  <c r="H89" i="33"/>
  <c r="H102" i="33" s="1"/>
  <c r="T89" i="34"/>
  <c r="J43" i="34"/>
  <c r="R89" i="33"/>
  <c r="R102" i="33" s="1"/>
  <c r="N89" i="34"/>
  <c r="N102" i="34" s="1"/>
  <c r="AF43" i="34"/>
  <c r="AF114" i="34" s="1"/>
  <c r="BJ89" i="33"/>
  <c r="BJ102" i="33" s="1"/>
  <c r="AP89" i="34"/>
  <c r="AP102" i="34" s="1"/>
  <c r="AH43" i="34"/>
  <c r="AH114" i="34" s="1"/>
  <c r="BB43" i="31"/>
  <c r="BB55" i="31" s="1"/>
  <c r="AN43" i="34"/>
  <c r="AF89" i="33"/>
  <c r="AF102" i="33" s="1"/>
  <c r="X43" i="34"/>
  <c r="X114" i="34" s="1"/>
  <c r="AF89" i="34"/>
  <c r="AF102" i="34" s="1"/>
  <c r="V43" i="34"/>
  <c r="V114" i="34" s="1"/>
  <c r="AP43" i="34"/>
  <c r="AP114" i="34" s="1"/>
  <c r="H43" i="31"/>
  <c r="H55" i="31" s="1"/>
  <c r="R43" i="34"/>
  <c r="R114" i="34" s="1"/>
  <c r="AD43" i="34"/>
  <c r="BL89" i="33"/>
  <c r="BL102" i="33" s="1"/>
  <c r="AR89" i="34"/>
  <c r="AR102" i="34" s="1"/>
  <c r="BF43" i="31"/>
  <c r="V43" i="33"/>
  <c r="V114" i="33" s="1"/>
  <c r="BJ43" i="31"/>
  <c r="BJ55" i="31" s="1"/>
  <c r="BH43" i="31"/>
  <c r="BL43" i="31"/>
  <c r="BL55" i="31" s="1"/>
  <c r="L43" i="33"/>
  <c r="L114" i="33" s="1"/>
  <c r="AZ43" i="33"/>
  <c r="AZ114" i="33" s="1"/>
  <c r="AX43" i="33"/>
  <c r="BJ43" i="33"/>
  <c r="BJ114" i="33" s="1"/>
  <c r="BF43" i="33"/>
  <c r="BF114" i="33" s="1"/>
  <c r="BH43" i="33"/>
  <c r="BL43" i="33"/>
  <c r="BL114" i="33" s="1"/>
  <c r="AX43" i="31"/>
  <c r="AV43" i="33"/>
  <c r="AV114" i="33" s="1"/>
  <c r="AH43" i="31"/>
  <c r="AH55" i="31" s="1"/>
  <c r="AB43" i="31"/>
  <c r="AB55" i="31" s="1"/>
  <c r="AH43" i="33"/>
  <c r="AH114" i="33" s="1"/>
  <c r="AR43" i="33"/>
  <c r="AR114" i="33" s="1"/>
  <c r="AF43" i="33"/>
  <c r="AF114" i="33" s="1"/>
  <c r="T43" i="33"/>
  <c r="R43" i="33"/>
  <c r="R114" i="33" s="1"/>
  <c r="AL43" i="33"/>
  <c r="AL114" i="33" s="1"/>
  <c r="H43" i="33"/>
  <c r="H114" i="33" s="1"/>
  <c r="J43" i="33"/>
  <c r="AB43" i="33"/>
  <c r="AB114" i="33" s="1"/>
  <c r="N43" i="33"/>
  <c r="N114" i="33" s="1"/>
  <c r="X43" i="33"/>
  <c r="X114" i="33" s="1"/>
  <c r="AN43" i="33"/>
  <c r="AP43" i="33"/>
  <c r="AP114" i="33" s="1"/>
  <c r="AC28" i="30"/>
  <c r="AC29" i="30"/>
  <c r="AR43" i="31"/>
  <c r="AR55" i="31" s="1"/>
  <c r="AP43" i="31"/>
  <c r="AP55" i="31" s="1"/>
  <c r="L43" i="31"/>
  <c r="L55" i="31" s="1"/>
  <c r="AL43" i="31"/>
  <c r="AL55" i="31" s="1"/>
  <c r="AF43" i="31"/>
  <c r="AF55" i="31" s="1"/>
  <c r="AN43" i="31"/>
  <c r="AD43" i="31"/>
  <c r="V43" i="31"/>
  <c r="V55" i="31" s="1"/>
  <c r="X43" i="31"/>
  <c r="X55" i="31" s="1"/>
  <c r="J43" i="31"/>
  <c r="T43" i="31"/>
  <c r="N43" i="31"/>
  <c r="N55" i="31" s="1"/>
  <c r="R43" i="31"/>
  <c r="R55" i="31" s="1"/>
  <c r="G50" i="41" l="1"/>
  <c r="G96" i="41"/>
  <c r="AO90" i="41"/>
  <c r="U44" i="41"/>
  <c r="BI90" i="41"/>
  <c r="AO105" i="41"/>
  <c r="V105" i="41" s="1"/>
  <c r="V109" i="41" s="1"/>
  <c r="AO117" i="41"/>
  <c r="V117" i="41" s="1"/>
  <c r="V121" i="41" s="1"/>
  <c r="U117" i="41"/>
  <c r="U120" i="41" s="1"/>
  <c r="BI117" i="41"/>
  <c r="W117" i="41" s="1"/>
  <c r="U90" i="41"/>
  <c r="AO44" i="41"/>
  <c r="BI44" i="41"/>
  <c r="U105" i="41"/>
  <c r="U107" i="41" s="1"/>
  <c r="L119" i="41"/>
  <c r="L120" i="41"/>
  <c r="L121" i="41"/>
  <c r="W109" i="41"/>
  <c r="W108" i="41"/>
  <c r="W107" i="41"/>
  <c r="J118" i="41"/>
  <c r="AI42" i="30" s="1"/>
  <c r="AI43" i="30" s="1"/>
  <c r="K121" i="41"/>
  <c r="V107" i="41"/>
  <c r="K109" i="41"/>
  <c r="J109" i="41" s="1"/>
  <c r="AI52" i="30" s="1"/>
  <c r="J106" i="41"/>
  <c r="AI48" i="30" s="1"/>
  <c r="AI49" i="30" s="1"/>
  <c r="M108" i="41"/>
  <c r="M109" i="41"/>
  <c r="M107" i="41"/>
  <c r="W69" i="36"/>
  <c r="W68" i="36"/>
  <c r="AD102" i="35"/>
  <c r="AE90" i="35"/>
  <c r="AN102" i="35"/>
  <c r="AO90" i="35"/>
  <c r="J114" i="35"/>
  <c r="K117" i="35" s="1"/>
  <c r="K121" i="35" s="1"/>
  <c r="K44" i="35"/>
  <c r="G47" i="35" s="1"/>
  <c r="BH114" i="35"/>
  <c r="BI44" i="35"/>
  <c r="AD63" i="36"/>
  <c r="AE66" i="36" s="1"/>
  <c r="L66" i="36" s="1"/>
  <c r="L70" i="36" s="1"/>
  <c r="AE44" i="36"/>
  <c r="T63" i="36"/>
  <c r="U66" i="36" s="1"/>
  <c r="U70" i="36" s="1"/>
  <c r="U44" i="36"/>
  <c r="AX63" i="36"/>
  <c r="AY44" i="36"/>
  <c r="BH63" i="36"/>
  <c r="BI44" i="36"/>
  <c r="AN114" i="35"/>
  <c r="AO117" i="35" s="1"/>
  <c r="V117" i="35" s="1"/>
  <c r="V121" i="35" s="1"/>
  <c r="AO44" i="35"/>
  <c r="AD114" i="35"/>
  <c r="AE117" i="35" s="1"/>
  <c r="AE44" i="35"/>
  <c r="AX114" i="35"/>
  <c r="AY44" i="35"/>
  <c r="J63" i="36"/>
  <c r="K66" i="36" s="1"/>
  <c r="K70" i="36" s="1"/>
  <c r="K44" i="36"/>
  <c r="BH102" i="35"/>
  <c r="BI90" i="35"/>
  <c r="AN63" i="36"/>
  <c r="AO66" i="36" s="1"/>
  <c r="V66" i="36" s="1"/>
  <c r="V70" i="36" s="1"/>
  <c r="AO44" i="36"/>
  <c r="AX102" i="35"/>
  <c r="AY90" i="35"/>
  <c r="AD102" i="34"/>
  <c r="AE90" i="34"/>
  <c r="J102" i="34"/>
  <c r="K105" i="34" s="1"/>
  <c r="K90" i="34"/>
  <c r="T102" i="34"/>
  <c r="U105" i="34" s="1"/>
  <c r="U109" i="34" s="1"/>
  <c r="U90" i="34"/>
  <c r="AN102" i="34"/>
  <c r="AO105" i="34" s="1"/>
  <c r="V105" i="34" s="1"/>
  <c r="V109" i="34" s="1"/>
  <c r="AO90" i="34"/>
  <c r="AN114" i="34"/>
  <c r="AO117" i="34" s="1"/>
  <c r="V117" i="34" s="1"/>
  <c r="V121" i="34" s="1"/>
  <c r="AO44" i="34"/>
  <c r="J114" i="34"/>
  <c r="K117" i="34" s="1"/>
  <c r="K44" i="34"/>
  <c r="T114" i="34"/>
  <c r="U117" i="34" s="1"/>
  <c r="U121" i="34" s="1"/>
  <c r="U44" i="34"/>
  <c r="AD114" i="34"/>
  <c r="AE117" i="34" s="1"/>
  <c r="L117" i="34" s="1"/>
  <c r="AE44" i="34"/>
  <c r="AD102" i="33"/>
  <c r="AE90" i="33"/>
  <c r="AX102" i="33"/>
  <c r="AY90" i="33"/>
  <c r="AN114" i="33"/>
  <c r="AO117" i="33" s="1"/>
  <c r="V117" i="33" s="1"/>
  <c r="V121" i="33" s="1"/>
  <c r="AO44" i="33"/>
  <c r="T114" i="33"/>
  <c r="U117" i="33" s="1"/>
  <c r="U121" i="33" s="1"/>
  <c r="U44" i="33"/>
  <c r="T102" i="33"/>
  <c r="U105" i="33" s="1"/>
  <c r="U90" i="33"/>
  <c r="J102" i="33"/>
  <c r="K90" i="33"/>
  <c r="BH102" i="33"/>
  <c r="BI90" i="33"/>
  <c r="J114" i="33"/>
  <c r="K117" i="33" s="1"/>
  <c r="K44" i="33"/>
  <c r="AN102" i="33"/>
  <c r="AO105" i="33" s="1"/>
  <c r="V105" i="33" s="1"/>
  <c r="V109" i="33" s="1"/>
  <c r="AO90" i="33"/>
  <c r="AX114" i="33"/>
  <c r="AY44" i="33"/>
  <c r="BH114" i="33"/>
  <c r="BI117" i="33" s="1"/>
  <c r="W117" i="33" s="1"/>
  <c r="W121" i="33" s="1"/>
  <c r="BI44" i="33"/>
  <c r="AX55" i="31"/>
  <c r="AY44" i="31"/>
  <c r="AN55" i="31"/>
  <c r="AO58" i="31" s="1"/>
  <c r="V58" i="31" s="1"/>
  <c r="V62" i="31" s="1"/>
  <c r="AO44" i="31"/>
  <c r="BH55" i="31"/>
  <c r="BI58" i="31" s="1"/>
  <c r="W58" i="31" s="1"/>
  <c r="W62" i="31" s="1"/>
  <c r="BI44" i="31"/>
  <c r="T55" i="31"/>
  <c r="U58" i="31" s="1"/>
  <c r="U44" i="31"/>
  <c r="J55" i="31"/>
  <c r="K58" i="31" s="1"/>
  <c r="K44" i="31"/>
  <c r="AD55" i="31"/>
  <c r="AE58" i="31" s="1"/>
  <c r="L58" i="31" s="1"/>
  <c r="L62" i="31" s="1"/>
  <c r="AE44" i="31"/>
  <c r="N102" i="33"/>
  <c r="AE105" i="34"/>
  <c r="L105" i="34" s="1"/>
  <c r="L109" i="34" s="1"/>
  <c r="AO105" i="35"/>
  <c r="V105" i="35" s="1"/>
  <c r="V109" i="35" s="1"/>
  <c r="AY66" i="36"/>
  <c r="M66" i="36" s="1"/>
  <c r="M70" i="36" s="1"/>
  <c r="AY117" i="35"/>
  <c r="AE105" i="35"/>
  <c r="L105" i="35" s="1"/>
  <c r="L109" i="35" s="1"/>
  <c r="J109" i="35" s="1"/>
  <c r="BI117" i="35"/>
  <c r="W117" i="35" s="1"/>
  <c r="W121" i="35" s="1"/>
  <c r="BI105" i="35"/>
  <c r="W105" i="35" s="1"/>
  <c r="W109" i="35" s="1"/>
  <c r="AY105" i="35"/>
  <c r="M105" i="35" s="1"/>
  <c r="M109" i="35" s="1"/>
  <c r="U105" i="35"/>
  <c r="U109" i="35" s="1"/>
  <c r="AY117" i="33"/>
  <c r="M117" i="33" s="1"/>
  <c r="M121" i="33" s="1"/>
  <c r="AY58" i="31"/>
  <c r="M58" i="31" s="1"/>
  <c r="M62" i="31" s="1"/>
  <c r="BI105" i="33"/>
  <c r="AY105" i="33"/>
  <c r="AE105" i="33"/>
  <c r="L105" i="33" s="1"/>
  <c r="L109" i="33" s="1"/>
  <c r="G51" i="33"/>
  <c r="AD28" i="30" s="1"/>
  <c r="S38" i="30" s="1"/>
  <c r="G52" i="33"/>
  <c r="AD29" i="30" s="1"/>
  <c r="S39" i="30" s="1"/>
  <c r="U90" i="35"/>
  <c r="V108" i="41" l="1"/>
  <c r="V119" i="41"/>
  <c r="K121" i="34"/>
  <c r="L121" i="34"/>
  <c r="J121" i="34" s="1"/>
  <c r="L120" i="34"/>
  <c r="U121" i="41"/>
  <c r="T121" i="41" s="1"/>
  <c r="U119" i="41"/>
  <c r="T118" i="41"/>
  <c r="V120" i="41"/>
  <c r="T120" i="41" s="1"/>
  <c r="W120" i="41"/>
  <c r="W119" i="41"/>
  <c r="W121" i="41"/>
  <c r="J121" i="41"/>
  <c r="AI46" i="30" s="1"/>
  <c r="U108" i="41"/>
  <c r="T108" i="41" s="1"/>
  <c r="U109" i="41"/>
  <c r="T109" i="41" s="1"/>
  <c r="T106" i="41"/>
  <c r="T107" i="41"/>
  <c r="AH52" i="30"/>
  <c r="AG52" i="30"/>
  <c r="T70" i="36"/>
  <c r="T121" i="35"/>
  <c r="T109" i="35"/>
  <c r="K120" i="41"/>
  <c r="J120" i="41" s="1"/>
  <c r="AI45" i="30" s="1"/>
  <c r="K119" i="41"/>
  <c r="J119" i="41" s="1"/>
  <c r="AI44" i="30" s="1"/>
  <c r="K108" i="41"/>
  <c r="J108" i="41" s="1"/>
  <c r="AI51" i="30" s="1"/>
  <c r="K107" i="41"/>
  <c r="J107" i="41" s="1"/>
  <c r="AI50" i="30" s="1"/>
  <c r="T121" i="34"/>
  <c r="T109" i="34"/>
  <c r="J70" i="36"/>
  <c r="K109" i="34"/>
  <c r="J109" i="34" s="1"/>
  <c r="T121" i="33"/>
  <c r="K121" i="33"/>
  <c r="U109" i="33"/>
  <c r="T109" i="33" s="1"/>
  <c r="AD52" i="30" s="1"/>
  <c r="W105" i="33"/>
  <c r="M105" i="33"/>
  <c r="M109" i="33" s="1"/>
  <c r="K62" i="31"/>
  <c r="J62" i="31" s="1"/>
  <c r="U62" i="31"/>
  <c r="T62" i="31" s="1"/>
  <c r="U68" i="36"/>
  <c r="U69" i="36"/>
  <c r="M68" i="36"/>
  <c r="M69" i="36"/>
  <c r="L68" i="36"/>
  <c r="L69" i="36"/>
  <c r="V69" i="36"/>
  <c r="V68" i="36"/>
  <c r="V120" i="34"/>
  <c r="V119" i="34"/>
  <c r="V108" i="34"/>
  <c r="V107" i="34"/>
  <c r="L119" i="34"/>
  <c r="L107" i="34"/>
  <c r="L108" i="34"/>
  <c r="U120" i="34"/>
  <c r="U119" i="34"/>
  <c r="U108" i="34"/>
  <c r="T108" i="34" s="1"/>
  <c r="U107" i="34"/>
  <c r="W61" i="31"/>
  <c r="W60" i="31"/>
  <c r="V61" i="31"/>
  <c r="V60" i="31"/>
  <c r="U61" i="31"/>
  <c r="U60" i="31"/>
  <c r="L60" i="31"/>
  <c r="L61" i="31"/>
  <c r="M60" i="31"/>
  <c r="M61" i="31"/>
  <c r="L117" i="35"/>
  <c r="L124" i="35"/>
  <c r="V120" i="35"/>
  <c r="V119" i="35"/>
  <c r="M117" i="35"/>
  <c r="M121" i="35" s="1"/>
  <c r="M124" i="35"/>
  <c r="M108" i="35"/>
  <c r="M107" i="35"/>
  <c r="V107" i="35"/>
  <c r="V108" i="35"/>
  <c r="W107" i="35"/>
  <c r="W108" i="35"/>
  <c r="W120" i="35"/>
  <c r="W119" i="35"/>
  <c r="L108" i="35"/>
  <c r="L107" i="35"/>
  <c r="W120" i="33"/>
  <c r="W119" i="33"/>
  <c r="U107" i="33"/>
  <c r="U108" i="33"/>
  <c r="M119" i="33"/>
  <c r="M120" i="33"/>
  <c r="V107" i="33"/>
  <c r="V108" i="33"/>
  <c r="U119" i="33"/>
  <c r="U120" i="33"/>
  <c r="V119" i="33"/>
  <c r="V120" i="33"/>
  <c r="L108" i="33"/>
  <c r="L107" i="33"/>
  <c r="G93" i="33"/>
  <c r="J67" i="36"/>
  <c r="T67" i="36"/>
  <c r="J106" i="34"/>
  <c r="J106" i="35"/>
  <c r="T118" i="35"/>
  <c r="T106" i="34"/>
  <c r="J118" i="34"/>
  <c r="K120" i="34" s="1"/>
  <c r="J120" i="34" s="1"/>
  <c r="G94" i="35"/>
  <c r="U107" i="35"/>
  <c r="T106" i="35"/>
  <c r="U108" i="35"/>
  <c r="G48" i="34"/>
  <c r="T118" i="34"/>
  <c r="T106" i="33"/>
  <c r="J59" i="31"/>
  <c r="T59" i="31"/>
  <c r="G94" i="34"/>
  <c r="G94" i="33"/>
  <c r="G49" i="31"/>
  <c r="T118" i="33"/>
  <c r="G48" i="36"/>
  <c r="G49" i="36"/>
  <c r="G47" i="36"/>
  <c r="G48" i="35"/>
  <c r="G95" i="33"/>
  <c r="G95" i="35"/>
  <c r="G49" i="35"/>
  <c r="G93" i="34"/>
  <c r="G47" i="33"/>
  <c r="G47" i="34"/>
  <c r="G48" i="31"/>
  <c r="G49" i="33"/>
  <c r="G47" i="31"/>
  <c r="T108" i="35" l="1"/>
  <c r="T119" i="41"/>
  <c r="AE46" i="30"/>
  <c r="G50" i="36"/>
  <c r="AF27" i="30" s="1"/>
  <c r="AI34" i="30"/>
  <c r="AE52" i="30"/>
  <c r="J118" i="35"/>
  <c r="K119" i="35" s="1"/>
  <c r="L121" i="35"/>
  <c r="J121" i="35" s="1"/>
  <c r="AG46" i="30" s="1"/>
  <c r="T107" i="34"/>
  <c r="J125" i="35"/>
  <c r="AH42" i="30" s="1"/>
  <c r="AH43" i="30" s="1"/>
  <c r="AC46" i="30"/>
  <c r="T69" i="36"/>
  <c r="W108" i="33"/>
  <c r="W109" i="33"/>
  <c r="T61" i="31"/>
  <c r="W107" i="33"/>
  <c r="T119" i="35"/>
  <c r="T120" i="35"/>
  <c r="AF46" i="30"/>
  <c r="K68" i="36"/>
  <c r="J68" i="36" s="1"/>
  <c r="K69" i="36"/>
  <c r="J69" i="36" s="1"/>
  <c r="K119" i="34"/>
  <c r="J119" i="34" s="1"/>
  <c r="K107" i="34"/>
  <c r="J107" i="34" s="1"/>
  <c r="K108" i="34"/>
  <c r="J108" i="34" s="1"/>
  <c r="AE51" i="30" s="1"/>
  <c r="K60" i="31"/>
  <c r="K61" i="31"/>
  <c r="M127" i="35"/>
  <c r="M126" i="35"/>
  <c r="L127" i="35"/>
  <c r="L126" i="35"/>
  <c r="K107" i="35"/>
  <c r="J107" i="35" s="1"/>
  <c r="AH48" i="30"/>
  <c r="AH49" i="30" s="1"/>
  <c r="M120" i="35"/>
  <c r="M119" i="35"/>
  <c r="L119" i="35"/>
  <c r="L120" i="35"/>
  <c r="M107" i="33"/>
  <c r="M108" i="33"/>
  <c r="T68" i="36"/>
  <c r="AE48" i="30"/>
  <c r="AE49" i="30" s="1"/>
  <c r="T107" i="35"/>
  <c r="AG48" i="30"/>
  <c r="AG49" i="30" s="1"/>
  <c r="K108" i="35"/>
  <c r="J108" i="35" s="1"/>
  <c r="G96" i="35"/>
  <c r="AE42" i="30"/>
  <c r="AE43" i="30" s="1"/>
  <c r="AF42" i="30"/>
  <c r="AF43" i="30" s="1"/>
  <c r="T119" i="34"/>
  <c r="T120" i="34"/>
  <c r="AE45" i="30" s="1"/>
  <c r="G50" i="34"/>
  <c r="AE27" i="30" s="1"/>
  <c r="T108" i="33"/>
  <c r="G96" i="33"/>
  <c r="AD34" i="30" s="1"/>
  <c r="G96" i="34"/>
  <c r="AE34" i="30" s="1"/>
  <c r="G50" i="35"/>
  <c r="T107" i="33"/>
  <c r="T119" i="33"/>
  <c r="T120" i="33"/>
  <c r="AC42" i="30"/>
  <c r="T60" i="31"/>
  <c r="G50" i="31"/>
  <c r="AC27" i="30" s="1"/>
  <c r="AD43" i="33"/>
  <c r="AE44" i="33" s="1"/>
  <c r="AG50" i="30" l="1"/>
  <c r="K120" i="35"/>
  <c r="J120" i="35" s="1"/>
  <c r="AG45" i="30" s="1"/>
  <c r="AE50" i="30"/>
  <c r="AF45" i="30"/>
  <c r="J127" i="35"/>
  <c r="AH45" i="30" s="1"/>
  <c r="AG42" i="30"/>
  <c r="AG43" i="30" s="1"/>
  <c r="J126" i="35"/>
  <c r="AH44" i="30" s="1"/>
  <c r="AC43" i="30"/>
  <c r="J119" i="35"/>
  <c r="AG44" i="30" s="1"/>
  <c r="AH50" i="30"/>
  <c r="AG51" i="30"/>
  <c r="AH51" i="30"/>
  <c r="AG34" i="30"/>
  <c r="AH34" i="30"/>
  <c r="AG27" i="30"/>
  <c r="AH27" i="30"/>
  <c r="AF44" i="30"/>
  <c r="AE44" i="30"/>
  <c r="J60" i="31"/>
  <c r="AC44" i="30" s="1"/>
  <c r="J61" i="31"/>
  <c r="AC45" i="30" s="1"/>
  <c r="G48" i="33"/>
  <c r="AD114" i="33"/>
  <c r="AE117" i="33" s="1"/>
  <c r="L117" i="33" s="1"/>
  <c r="G50" i="33" l="1"/>
  <c r="AD27" i="30" s="1"/>
  <c r="AI27" i="30"/>
  <c r="S34" i="30" s="1"/>
  <c r="L121" i="33"/>
  <c r="J121" i="33" s="1"/>
  <c r="AD46" i="30" s="1"/>
  <c r="S28" i="30" s="1"/>
  <c r="J118" i="33"/>
  <c r="L119" i="33"/>
  <c r="L120" i="33"/>
  <c r="AD42" i="30" l="1"/>
  <c r="K119" i="33"/>
  <c r="J119" i="33" s="1"/>
  <c r="AD44" i="30" s="1"/>
  <c r="K120" i="33"/>
  <c r="J120" i="33" s="1"/>
  <c r="AD45" i="30" s="1"/>
  <c r="AD43" i="30" l="1"/>
  <c r="K105" i="33"/>
  <c r="J106" i="33" l="1"/>
  <c r="AD48" i="30" s="1"/>
  <c r="AD49" i="30" s="1"/>
  <c r="K109" i="33"/>
  <c r="J109" i="33" s="1"/>
  <c r="K107" i="33" l="1"/>
  <c r="J107" i="33" s="1"/>
  <c r="AD50" i="30" s="1"/>
  <c r="S26" i="30" s="1"/>
  <c r="K108" i="33"/>
  <c r="J108" i="33" s="1"/>
  <c r="AD51" i="30" s="1"/>
  <c r="S27" i="30" s="1"/>
  <c r="P24" i="30"/>
</calcChain>
</file>

<file path=xl/sharedStrings.xml><?xml version="1.0" encoding="utf-8"?>
<sst xmlns="http://schemas.openxmlformats.org/spreadsheetml/2006/main" count="3979" uniqueCount="363">
  <si>
    <t>Montage</t>
  </si>
  <si>
    <t>type de poutrelle</t>
  </si>
  <si>
    <t>entraxe (cm)</t>
  </si>
  <si>
    <t>2 AL</t>
  </si>
  <si>
    <t>1 ASE</t>
  </si>
  <si>
    <t>G</t>
  </si>
  <si>
    <t>Q</t>
  </si>
  <si>
    <t>Revetement Fragiles</t>
  </si>
  <si>
    <t>Stockage Court</t>
  </si>
  <si>
    <t>Avec part permanente de Q</t>
  </si>
  <si>
    <t>GF177 J</t>
  </si>
  <si>
    <t>GF178 J</t>
  </si>
  <si>
    <t>GF179 J</t>
  </si>
  <si>
    <t>GF187 J</t>
  </si>
  <si>
    <t>GF188 J</t>
  </si>
  <si>
    <t>GF189 J</t>
  </si>
  <si>
    <t>Comparatif poutrelles GL jumelées - VS sans étai</t>
  </si>
  <si>
    <t>portée=</t>
  </si>
  <si>
    <t>charges permanentes G=</t>
  </si>
  <si>
    <t>EBS</t>
  </si>
  <si>
    <t>Etaiement:</t>
  </si>
  <si>
    <t>PLASTI-VS</t>
  </si>
  <si>
    <t>Continuitées</t>
  </si>
  <si>
    <t>POLYSEAC</t>
  </si>
  <si>
    <t>AL</t>
  </si>
  <si>
    <t>1C</t>
  </si>
  <si>
    <t>hourdis</t>
  </si>
  <si>
    <t xml:space="preserve"> hauteur hourdis</t>
  </si>
  <si>
    <t>table de compression</t>
  </si>
  <si>
    <t>SEACISOL</t>
  </si>
  <si>
    <t>table</t>
  </si>
  <si>
    <t>charges libres Q=</t>
  </si>
  <si>
    <t>charge libres</t>
  </si>
  <si>
    <t>permanentes</t>
  </si>
  <si>
    <t>101+150</t>
  </si>
  <si>
    <t>151+150</t>
  </si>
  <si>
    <t>201+150</t>
  </si>
  <si>
    <t>251+150</t>
  </si>
  <si>
    <t>401+150</t>
  </si>
  <si>
    <t>501+150</t>
  </si>
  <si>
    <t>101+250</t>
  </si>
  <si>
    <t>151+250</t>
  </si>
  <si>
    <t>201+250</t>
  </si>
  <si>
    <t>251+250</t>
  </si>
  <si>
    <t>401+250</t>
  </si>
  <si>
    <t>401+400</t>
  </si>
  <si>
    <t>251+400</t>
  </si>
  <si>
    <t>choix continuité</t>
  </si>
  <si>
    <t>choix table</t>
  </si>
  <si>
    <t>portée max charge choisit</t>
  </si>
  <si>
    <t>101+400</t>
  </si>
  <si>
    <t>nom produit</t>
  </si>
  <si>
    <t>image produit</t>
  </si>
  <si>
    <r>
      <rPr>
        <b/>
        <sz val="14"/>
        <color theme="0" tint="-0.14999847407452621"/>
        <rFont val="MS Sans Serif"/>
      </rPr>
      <t>"</t>
    </r>
    <r>
      <rPr>
        <b/>
        <sz val="14"/>
        <rFont val="MS Sans Serif"/>
      </rPr>
      <t>+</t>
    </r>
    <r>
      <rPr>
        <b/>
        <sz val="14"/>
        <color theme="0" tint="-0.14999847407452621"/>
        <rFont val="MS Sans Serif"/>
      </rPr>
      <t>"</t>
    </r>
  </si>
  <si>
    <t>planchers vide sanitaire</t>
  </si>
  <si>
    <t>PREDAL-SEACOUSTIC</t>
  </si>
  <si>
    <t>C17</t>
  </si>
  <si>
    <t>C21</t>
  </si>
  <si>
    <t>C25</t>
  </si>
  <si>
    <t>.</t>
  </si>
  <si>
    <t>20</t>
  </si>
  <si>
    <t>REI</t>
  </si>
  <si>
    <t>ml</t>
  </si>
  <si>
    <t>kg/m²</t>
  </si>
  <si>
    <t>portée max</t>
  </si>
  <si>
    <t>montage</t>
  </si>
  <si>
    <t xml:space="preserve">etaiment </t>
  </si>
  <si>
    <t>501+250</t>
  </si>
  <si>
    <t>501+400</t>
  </si>
  <si>
    <t>937R</t>
  </si>
  <si>
    <t>choix tableaux polyst</t>
  </si>
  <si>
    <t xml:space="preserve">poids </t>
  </si>
  <si>
    <t>litrage</t>
  </si>
  <si>
    <t>litrage béton:</t>
  </si>
  <si>
    <t>portée</t>
  </si>
  <si>
    <t>poids</t>
  </si>
  <si>
    <t>151+400</t>
  </si>
  <si>
    <t>201+400</t>
  </si>
  <si>
    <t>AVEC ETAI</t>
  </si>
  <si>
    <t>SANS ETAI</t>
  </si>
  <si>
    <t>301+150</t>
  </si>
  <si>
    <t>301+250</t>
  </si>
  <si>
    <t>301+400</t>
  </si>
  <si>
    <t xml:space="preserve">SANS ETAI </t>
  </si>
  <si>
    <t xml:space="preserve">AVEC ETAI </t>
  </si>
  <si>
    <t>4..3</t>
  </si>
  <si>
    <t>JUMELAGE</t>
  </si>
  <si>
    <t>JUM</t>
  </si>
  <si>
    <t>simple</t>
  </si>
  <si>
    <t>jumelée</t>
  </si>
  <si>
    <t>avec etai</t>
  </si>
  <si>
    <t>sans etai</t>
  </si>
  <si>
    <t>poids du plancher fini:</t>
  </si>
  <si>
    <t xml:space="preserve">montage </t>
  </si>
  <si>
    <t>non fourni</t>
  </si>
  <si>
    <r>
      <t xml:space="preserve">        </t>
    </r>
    <r>
      <rPr>
        <b/>
        <u/>
        <sz val="14"/>
        <rFont val="Calibri"/>
        <family val="2"/>
        <scheme val="minor"/>
      </rPr>
      <t>planchers étages</t>
    </r>
  </si>
  <si>
    <t>REI30</t>
  </si>
  <si>
    <t>REI60</t>
  </si>
  <si>
    <t xml:space="preserve">AVEC  ETAI </t>
  </si>
  <si>
    <t>avec ETAI</t>
  </si>
  <si>
    <t>"non disponible"</t>
  </si>
  <si>
    <t>poutrelle</t>
  </si>
  <si>
    <t>Montage jumelée non proposé</t>
  </si>
  <si>
    <t>15+5 Polyseac</t>
  </si>
  <si>
    <t>[0]</t>
  </si>
  <si>
    <t>Els</t>
  </si>
  <si>
    <t>Php</t>
  </si>
  <si>
    <t>15+6 Polyseac</t>
  </si>
  <si>
    <t>15 + 7 Polyseac</t>
  </si>
  <si>
    <t>15 + 8 Polyseac</t>
  </si>
  <si>
    <t>"non disponible en 12"</t>
  </si>
  <si>
    <t>12+5</t>
  </si>
  <si>
    <t>12+6</t>
  </si>
  <si>
    <t>12+7</t>
  </si>
  <si>
    <t>12+8</t>
  </si>
  <si>
    <t>15+5</t>
  </si>
  <si>
    <t>15+6</t>
  </si>
  <si>
    <t>15+7</t>
  </si>
  <si>
    <t>15+8</t>
  </si>
  <si>
    <t>20+5</t>
  </si>
  <si>
    <t>20+6</t>
  </si>
  <si>
    <t>20+7</t>
  </si>
  <si>
    <t>20+8</t>
  </si>
  <si>
    <t>predim avec etai</t>
  </si>
  <si>
    <t>predim sans étai</t>
  </si>
  <si>
    <t>preco seac</t>
  </si>
  <si>
    <t>montage imposé</t>
  </si>
  <si>
    <t>SIMPLE</t>
  </si>
  <si>
    <t>__</t>
  </si>
  <si>
    <t>jum</t>
  </si>
  <si>
    <t>version 1-09-25</t>
  </si>
  <si>
    <t>C17+5</t>
  </si>
  <si>
    <t>C17+6</t>
  </si>
  <si>
    <t>C17+7</t>
  </si>
  <si>
    <t>C17+8</t>
  </si>
  <si>
    <t>C21+5</t>
  </si>
  <si>
    <t>C21+6</t>
  </si>
  <si>
    <t>C21+7</t>
  </si>
  <si>
    <t>C21+8</t>
  </si>
  <si>
    <t>C25+5</t>
  </si>
  <si>
    <t>C25+6</t>
  </si>
  <si>
    <t>C25+7</t>
  </si>
  <si>
    <t>C25+8</t>
  </si>
  <si>
    <t>predim REI30</t>
  </si>
  <si>
    <t>predim REI60</t>
  </si>
  <si>
    <t>NOTA:</t>
  </si>
  <si>
    <t xml:space="preserve">un plancher REI 60 doit avoir </t>
  </si>
  <si>
    <t xml:space="preserve">une hauteur totale minimale </t>
  </si>
  <si>
    <t>table de compression + chape de 8 cm</t>
  </si>
  <si>
    <t xml:space="preserve">Aide à l'utilisation </t>
  </si>
  <si>
    <t>"portées du plancher</t>
  </si>
  <si>
    <t>"charges G et Q du projet</t>
  </si>
  <si>
    <t>"conditions d'étaiement</t>
  </si>
  <si>
    <t>"degrés coupe feu pour les étages</t>
  </si>
  <si>
    <t>Cet outil vous propose de déterminer et dimensionner  les différents type de plancher  POUTRELLE SEAC</t>
  </si>
  <si>
    <t xml:space="preserve">selon les hypothèses suivantes, </t>
  </si>
  <si>
    <t>"continuités possibles</t>
  </si>
  <si>
    <t>les calculs sont réalisés pour des conditions de revêtement fragile</t>
  </si>
  <si>
    <t xml:space="preserve">préconisation SEAC </t>
  </si>
  <si>
    <t>étai</t>
  </si>
  <si>
    <t>Predal-seacoustic</t>
  </si>
  <si>
    <t>51+150</t>
  </si>
  <si>
    <t>51+250</t>
  </si>
  <si>
    <t>51+400</t>
  </si>
  <si>
    <t>preco</t>
  </si>
  <si>
    <t>PREDAL SEACOUSTIC</t>
  </si>
  <si>
    <t>Continuités</t>
  </si>
  <si>
    <t>CO²</t>
  </si>
  <si>
    <t>R</t>
  </si>
  <si>
    <t>KNAUF Thane  56 mm</t>
  </si>
  <si>
    <t>PU TMS 30 mm</t>
  </si>
  <si>
    <t>FDES_SOPREMA_TMS sol 30 mm_20201027</t>
  </si>
  <si>
    <t>KNAUF Thane  80 mm</t>
  </si>
  <si>
    <t>PU TMS 48 mm</t>
  </si>
  <si>
    <t>FDES_SOPREMA_TMS sol 48 mm_20201027</t>
  </si>
  <si>
    <t>GF120</t>
  </si>
  <si>
    <t>GF120 JUM</t>
  </si>
  <si>
    <t>GF137</t>
  </si>
  <si>
    <t>GF137 JUM</t>
  </si>
  <si>
    <t>GF 158</t>
  </si>
  <si>
    <t>GF 158 JUM</t>
  </si>
  <si>
    <t>ecart table</t>
  </si>
  <si>
    <t>sans</t>
  </si>
  <si>
    <t>PU TMS 56 mm</t>
  </si>
  <si>
    <t>FDES_SOPREMA_TMS sol 56 mm_20191119</t>
  </si>
  <si>
    <t>EBS 12X57X125</t>
  </si>
  <si>
    <t>PU TMS 68 mm</t>
  </si>
  <si>
    <t>FDES_SOPREMA_TMS sol 68 mm_20201027</t>
  </si>
  <si>
    <t>EBS 15X57X125</t>
  </si>
  <si>
    <t>entraxe(cm)</t>
  </si>
  <si>
    <t>kg co²eq    m²</t>
  </si>
  <si>
    <t>kg co²eq    /m²</t>
  </si>
  <si>
    <t>Qté (l)</t>
  </si>
  <si>
    <t>co²eq/l</t>
  </si>
  <si>
    <t>PU TMS 80 mm</t>
  </si>
  <si>
    <t>FDES_SOPREMA_TMS sol 80 mm_20191119</t>
  </si>
  <si>
    <t>EBS 20X57X125</t>
  </si>
  <si>
    <t>SELECTIONNEZ</t>
  </si>
  <si>
    <t>beton</t>
  </si>
  <si>
    <t>PU TMS 100 mm</t>
  </si>
  <si>
    <t>FDES_SOPREMA_TMS sol 100 mm_20191119</t>
  </si>
  <si>
    <t>GF 137-GF 158</t>
  </si>
  <si>
    <t>Beton_(hors armature) pour dalle C25 30 XC1 XC2 CEMII A_07_2019</t>
  </si>
  <si>
    <t>(197.5/m3)</t>
  </si>
  <si>
    <t>PU TMS 120 mm</t>
  </si>
  <si>
    <t>poids ptrelle/m2</t>
  </si>
  <si>
    <t>Béton C25-30 CEMIII-A S4 XC1 Hors armature configurateur BETie - Version Septembre 2018</t>
  </si>
  <si>
    <t xml:space="preserve">PU UNILIN UTHERM 80 mm - </t>
  </si>
  <si>
    <t>FDES_SOPREMA_TMS sol 120 mm_20201027</t>
  </si>
  <si>
    <t>poids ebs 15/m²</t>
  </si>
  <si>
    <t xml:space="preserve">PU  UNILIN UTHERM 101 mm - </t>
  </si>
  <si>
    <t>poids ebs 20/m²</t>
  </si>
  <si>
    <t xml:space="preserve">PU UNILIN UTHERM 120 mm - </t>
  </si>
  <si>
    <t>poids  calc 12+5</t>
  </si>
  <si>
    <t>PU projeté in-situ 70 mm</t>
  </si>
  <si>
    <t>poids  calc 15+5</t>
  </si>
  <si>
    <t xml:space="preserve"> Résultats réchauffement climatique par élément de plancher (kg CO2 eq./m²)</t>
  </si>
  <si>
    <t>poids  calc 20+5</t>
  </si>
  <si>
    <t>poids pla 12+</t>
  </si>
  <si>
    <t>KNAUF Thane 100 mm</t>
  </si>
  <si>
    <t>poids pla 15+</t>
  </si>
  <si>
    <t>poids pla 20+</t>
  </si>
  <si>
    <t xml:space="preserve">poids biosourcé </t>
  </si>
  <si>
    <t>GF 112 à GF 125</t>
  </si>
  <si>
    <t>co²eq/ml</t>
  </si>
  <si>
    <t>PSE KNAUF Therm  80 mm</t>
  </si>
  <si>
    <t>MONTAGE CHOISI</t>
  </si>
  <si>
    <t>PSE KNAUF Therm 100 mm</t>
  </si>
  <si>
    <t>GF 933 à GF 937</t>
  </si>
  <si>
    <t>PSE KNAUF Therm  200 mm</t>
  </si>
  <si>
    <t>KG/m²</t>
  </si>
  <si>
    <t>acier ferraillage</t>
  </si>
  <si>
    <t>SEAC</t>
  </si>
  <si>
    <t>wordsteel</t>
  </si>
  <si>
    <t>co²eq/kg</t>
  </si>
  <si>
    <t>hourdis beton</t>
  </si>
  <si>
    <t>cerib</t>
  </si>
  <si>
    <t>ded</t>
  </si>
  <si>
    <t>polyseac up 11</t>
  </si>
  <si>
    <t>Réferences des FDES prises en compte (base INIES)</t>
  </si>
  <si>
    <t>polyseac up 15</t>
  </si>
  <si>
    <t>polyseac up 19</t>
  </si>
  <si>
    <t>polyseac up 23</t>
  </si>
  <si>
    <t>polyseac up 27</t>
  </si>
  <si>
    <t>FDES_Poutrelle_BP H inf. 12cm_03.2020 n°1-72:2020</t>
  </si>
  <si>
    <t>polyseac up 30</t>
  </si>
  <si>
    <t>FDES_Poutrelle_BP H 12_15 cm_03.2020 n°1-73:2020</t>
  </si>
  <si>
    <t>polyseac up 80</t>
  </si>
  <si>
    <t>138-158</t>
  </si>
  <si>
    <t>FDES_gamme EBS  INIES : 20250946611</t>
  </si>
  <si>
    <t xml:space="preserve">EBS </t>
  </si>
  <si>
    <t>FDES PLASTI-VS INIES : n°20260148591</t>
  </si>
  <si>
    <t>FDES POLYSEAC UP11àUP 15 INIES : n°20260148578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</si>
  <si>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</si>
  <si>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</si>
  <si>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</si>
  <si>
    <r>
      <t>polystyrenel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>UP 15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</si>
  <si>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15</t>
    </r>
    <r>
      <rPr>
        <sz val="9"/>
        <rFont val="Times New Roman"/>
        <family val="1"/>
      </rPr>
      <t xml:space="preserve"> </t>
    </r>
  </si>
  <si>
    <t>FDES POLYSEAC UP19 INIES : n°20260148580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</si>
  <si>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</si>
  <si>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19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</si>
  <si>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t>FDES POLYSEAC UP23 INIES : n°20260148577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</si>
  <si>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</si>
  <si>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23</t>
    </r>
    <r>
      <rPr>
        <sz val="9"/>
        <rFont val="Times New Roman"/>
        <family val="1"/>
      </rPr>
      <t xml:space="preserve"> </t>
    </r>
  </si>
  <si>
    <t>FDES POLYSEAC &gt;UP23 INIES : n°20260148577</t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</si>
  <si>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27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</si>
  <si>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</si>
  <si>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30</t>
    </r>
    <r>
      <rPr>
        <sz val="9"/>
        <rFont val="Times New Roman"/>
        <family val="1"/>
      </rPr>
      <t xml:space="preserve"> </t>
    </r>
  </si>
  <si>
    <r>
      <t>polystyrene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UP 80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</si>
  <si>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t>ecart de table</t>
  </si>
  <si>
    <t>APA_FDES__Armatures catalogue_2023_06_v1.3</t>
  </si>
  <si>
    <t>rehausse de 5 ajout de 1.20</t>
  </si>
  <si>
    <t>UP</t>
  </si>
  <si>
    <t>up</t>
  </si>
  <si>
    <t>co²</t>
  </si>
  <si>
    <t>co2</t>
  </si>
  <si>
    <t>h15</t>
  </si>
  <si>
    <t>h12</t>
  </si>
  <si>
    <t>h20</t>
  </si>
  <si>
    <t>montage choisi</t>
  </si>
  <si>
    <t>S</t>
  </si>
  <si>
    <t>J</t>
  </si>
  <si>
    <t>CEM II(197kgco²/m3)</t>
  </si>
  <si>
    <t>CEM III(150kgco²/m3)</t>
  </si>
  <si>
    <t>autre béton (kg co²/m3)</t>
  </si>
  <si>
    <t>s</t>
  </si>
  <si>
    <t>j</t>
  </si>
  <si>
    <t>ml/m²</t>
  </si>
  <si>
    <t xml:space="preserve">SEACISOL </t>
  </si>
  <si>
    <t>------------&gt;</t>
  </si>
  <si>
    <t>PLASTI-VS 12-57X125</t>
  </si>
  <si>
    <t>PLASTI-VS 15-57X125</t>
  </si>
  <si>
    <t>seacbois 12-57X125</t>
  </si>
  <si>
    <t>seacbois 15-57X125</t>
  </si>
  <si>
    <t>seacbois 20-57X125</t>
  </si>
  <si>
    <t>SEACISOL C17 UP23 à UP15</t>
  </si>
  <si>
    <t>SEACISOL C21 UP23 à UP15</t>
  </si>
  <si>
    <t>SEACISOL C25 UP23 à UP17</t>
  </si>
  <si>
    <t>litrage beton</t>
  </si>
  <si>
    <t>choix s ou j co²</t>
  </si>
  <si>
    <t>choix s ou j litrage</t>
  </si>
  <si>
    <t>choisit</t>
  </si>
  <si>
    <t>12+5 JUM</t>
  </si>
  <si>
    <t>12+6 JUM</t>
  </si>
  <si>
    <t>12+7 JUM</t>
  </si>
  <si>
    <t>12+8 JUM</t>
  </si>
  <si>
    <t>15+5 JUM</t>
  </si>
  <si>
    <t>15+6 JUM</t>
  </si>
  <si>
    <t>15+7 JUM</t>
  </si>
  <si>
    <t>15+8 JUM</t>
  </si>
  <si>
    <t>20+5 JUM</t>
  </si>
  <si>
    <t>20+6 JUM</t>
  </si>
  <si>
    <t>20+7 JUM</t>
  </si>
  <si>
    <t>20+8 JUM</t>
  </si>
  <si>
    <t>PRECO</t>
  </si>
  <si>
    <r>
      <t xml:space="preserve">predim </t>
    </r>
    <r>
      <rPr>
        <b/>
        <sz val="10"/>
        <rFont val="MS Sans Serif"/>
      </rPr>
      <t>avec etai</t>
    </r>
  </si>
  <si>
    <r>
      <t xml:space="preserve">predim </t>
    </r>
    <r>
      <rPr>
        <b/>
        <sz val="10"/>
        <rFont val="MS Sans Serif"/>
      </rPr>
      <t>sans étai</t>
    </r>
  </si>
  <si>
    <t xml:space="preserve">   poids carbone du plancher </t>
  </si>
  <si>
    <t xml:space="preserve">   poids carbone du plancher :</t>
  </si>
  <si>
    <t xml:space="preserve">     EBS</t>
  </si>
  <si>
    <r>
      <rPr>
        <b/>
        <sz val="14"/>
        <rFont val="Calibri"/>
        <family val="2"/>
        <scheme val="minor"/>
      </rPr>
      <t xml:space="preserve">       </t>
    </r>
    <r>
      <rPr>
        <b/>
        <u/>
        <sz val="14"/>
        <rFont val="Calibri"/>
        <family val="2"/>
        <scheme val="minor"/>
      </rPr>
      <t>toit.terrasse</t>
    </r>
  </si>
  <si>
    <t>SEACBOIS</t>
  </si>
  <si>
    <t xml:space="preserve"> ep hourdis</t>
  </si>
  <si>
    <t xml:space="preserve">         calculez la portée maxi d'un montage</t>
  </si>
  <si>
    <t xml:space="preserve">   portée maxi du plancher  :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</si>
  <si>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11</t>
    </r>
    <r>
      <rPr>
        <sz val="9"/>
        <rFont val="Times New Roman"/>
        <family val="1"/>
      </rPr>
      <t xml:space="preserve"> </t>
    </r>
  </si>
  <si>
    <r>
      <t>polyseac  15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</si>
  <si>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polyseac  20 UP 11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</t>
    </r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</si>
  <si>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15</t>
    </r>
  </si>
  <si>
    <t>polyseac  15 UP 15</t>
  </si>
  <si>
    <t>polyseac  20 UP 15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</si>
  <si>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19</t>
    </r>
  </si>
  <si>
    <t>polyseac  15 UP 19</t>
  </si>
  <si>
    <t>polyseac  20 UP 19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</si>
  <si>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23</t>
    </r>
  </si>
  <si>
    <t>polyseac  15 UP 23</t>
  </si>
  <si>
    <t>polyseac  20 UP 23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</si>
  <si>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27</t>
    </r>
  </si>
  <si>
    <t>polyseac  15 UP 27</t>
  </si>
  <si>
    <t>polyseac  20 UP 27</t>
  </si>
  <si>
    <r>
      <t>polyseac</t>
    </r>
    <r>
      <rPr>
        <sz val="9"/>
        <rFont val="Times New Roman"/>
        <family val="1"/>
      </rPr>
      <t xml:space="preserve"> </t>
    </r>
    <r>
      <rPr>
        <sz val="9"/>
        <rFont val="Calibri"/>
        <family val="2"/>
      </rPr>
      <t xml:space="preserve"> 12 UP 30</t>
    </r>
  </si>
  <si>
    <t>polyseac  15 UP 30</t>
  </si>
  <si>
    <t>polyseac  20 UP 30</t>
  </si>
  <si>
    <t>EBS 12</t>
  </si>
  <si>
    <t>EBS  15</t>
  </si>
  <si>
    <t>EBS 20</t>
  </si>
  <si>
    <t>PLASTI-VS 12</t>
  </si>
  <si>
    <t>PLASTI-VS 15</t>
  </si>
  <si>
    <t>SEACBOIS 12</t>
  </si>
  <si>
    <t>SEACBOIS 15</t>
  </si>
  <si>
    <t>SEACBOIS 20</t>
  </si>
  <si>
    <t>SEACISOL C17</t>
  </si>
  <si>
    <t>SEACISOL C21</t>
  </si>
  <si>
    <t>SEACISOL C25</t>
  </si>
  <si>
    <t xml:space="preserve"> FDES SEACBOIE INIES : n°20260148581</t>
  </si>
  <si>
    <t xml:space="preserve">FDES SEACISOL à paraitre </t>
  </si>
  <si>
    <t xml:space="preserve">    SELECTIONNEZ</t>
  </si>
  <si>
    <t>simple ou jumelée</t>
  </si>
  <si>
    <t>SEACISOL C17 UP15 à 23</t>
  </si>
  <si>
    <t>SEACISOL C21 UP15 à 23</t>
  </si>
  <si>
    <t>SEACISOL C25 UP15 à 23</t>
  </si>
  <si>
    <t>kg de co²/m²</t>
  </si>
  <si>
    <r>
      <t xml:space="preserve">     SEACBOIS</t>
    </r>
    <r>
      <rPr>
        <b/>
        <sz val="10"/>
        <color theme="0" tint="-0.14999847407452621"/>
        <rFont val="MS Sans Serif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</si>
</sst>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0;\(0\)"/>
    <numFmt numFmtId="165" formatCode="#,##0.00\ [$€];[Red]\-#,##0.00\ [$€]"/>
    <numFmt numFmtId="166" formatCode="_-* #,##0.00&quot; h/m²&quot;_-;\-* #,##0.00&quot; m²&quot;_-;_-* &quot;-&quot;??\ &quot;F&quot;_-;_-@_-"/>
    <numFmt numFmtId="167" formatCode="_-* #,##0.0&quot; kg/m²&quot;_-;\-* #,##0.0&quot; m²&quot;_-;_-* &quot;-&quot;??\ &quot;F&quot;_-;_-@_-"/>
    <numFmt numFmtId="168" formatCode="_-* #,##0.0&quot; l/m²&quot;_-;\-* #,##0.0&quot; l/m²&quot;_-;_-* &quot;-&quot;??\ &quot;F&quot;_-;_-@_-"/>
    <numFmt numFmtId="169" formatCode="0.000"/>
    <numFmt numFmtId="170" formatCode="_-* #,##0.0&quot; Kg/m²&quot;_-;\-* #,##0.0&quot; m²&quot;_-;_-* &quot;-&quot;??\ &quot;F&quot;_-;_-@_-"/>
    <numFmt numFmtId="171" formatCode="_-* #,##0.00&quot; kg/m²&quot;_-;\-* #,##0.00&quot; m²&quot;_-;_-* &quot;-&quot;??\ &quot;F&quot;_-;_-@_-"/>
  </numFmts>
  <fonts count="62" x14ac:knownFonts="1">
    <font>
      <sz val="10"/>
      <name val="MS Sans Serif"/>
    </font>
    <font>
      <b/>
      <sz val="10"/>
      <name val="MS Sans Serif"/>
    </font>
    <font>
      <sz val="10"/>
      <name val="MS Sans Serif"/>
      <family val="2"/>
    </font>
    <font>
      <sz val="10"/>
      <name val="Times New Roman"/>
      <family val="1"/>
    </font>
    <font>
      <b/>
      <sz val="10"/>
      <color indexed="8"/>
      <name val="MS Sans Serif"/>
      <family val="2"/>
    </font>
    <font>
      <sz val="8"/>
      <color indexed="8"/>
      <name val="MS Sans Serif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10"/>
      <color indexed="8"/>
      <name val="MS Sans Serif"/>
      <family val="2"/>
    </font>
    <font>
      <b/>
      <sz val="10"/>
      <name val="Times New Roman"/>
      <family val="1"/>
    </font>
    <font>
      <vertAlign val="subscript"/>
      <sz val="10"/>
      <name val="Times New Roman"/>
      <family val="1"/>
    </font>
    <font>
      <b/>
      <sz val="12"/>
      <color indexed="8"/>
      <name val="MS Sans Serif"/>
      <family val="2"/>
    </font>
    <font>
      <b/>
      <sz val="11"/>
      <name val="MS Sans Serif"/>
      <family val="2"/>
    </font>
    <font>
      <b/>
      <sz val="11"/>
      <color indexed="8"/>
      <name val="MS Sans Serif"/>
      <family val="2"/>
    </font>
    <font>
      <vertAlign val="subscript"/>
      <sz val="11"/>
      <name val="MS Sans Serif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color indexed="8"/>
      <name val="MS Sans Serif"/>
      <family val="2"/>
    </font>
    <font>
      <b/>
      <sz val="14"/>
      <name val="MS Sans Serif"/>
    </font>
    <font>
      <sz val="8"/>
      <color rgb="FF000000"/>
      <name val="Segoe UI"/>
      <family val="2"/>
    </font>
    <font>
      <sz val="10"/>
      <color theme="0" tint="-0.14999847407452621"/>
      <name val="MS Sans Serif"/>
    </font>
    <font>
      <b/>
      <sz val="14"/>
      <color theme="0" tint="-0.14999847407452621"/>
      <name val="MS Sans Serif"/>
    </font>
    <font>
      <b/>
      <sz val="12"/>
      <name val="MS Sans Serif"/>
    </font>
    <font>
      <b/>
      <sz val="10"/>
      <color rgb="FFC00000"/>
      <name val="Arial Black"/>
      <family val="2"/>
    </font>
    <font>
      <b/>
      <sz val="10"/>
      <name val="Arial Black"/>
      <family val="2"/>
    </font>
    <font>
      <b/>
      <sz val="16"/>
      <name val="MS Sans Serif"/>
    </font>
    <font>
      <sz val="8"/>
      <name val="MS Sans Serif"/>
    </font>
    <font>
      <b/>
      <sz val="12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sz val="10"/>
      <name val="MS Sans Serif"/>
    </font>
    <font>
      <b/>
      <sz val="14"/>
      <color rgb="FF00B050"/>
      <name val="Calibri"/>
      <family val="2"/>
      <scheme val="minor"/>
    </font>
    <font>
      <sz val="10"/>
      <color theme="0"/>
      <name val="MS Sans Serif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Arial Black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</font>
    <font>
      <b/>
      <sz val="12"/>
      <color rgb="FFFF0000"/>
      <name val="Calibri"/>
      <family val="2"/>
    </font>
    <font>
      <b/>
      <sz val="14"/>
      <color rgb="FFFF0000"/>
      <name val="Calibri"/>
      <family val="2"/>
    </font>
    <font>
      <b/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</font>
    <font>
      <sz val="11"/>
      <color theme="4"/>
      <name val="Calibri"/>
      <family val="2"/>
      <scheme val="minor"/>
    </font>
    <font>
      <sz val="9"/>
      <name val="Calibri"/>
      <family val="2"/>
    </font>
    <font>
      <sz val="9"/>
      <name val="Times New Roman"/>
      <family val="1"/>
    </font>
    <font>
      <sz val="9"/>
      <name val="Calibri"/>
      <family val="2"/>
      <scheme val="minor"/>
    </font>
    <font>
      <sz val="9"/>
      <name val="Calibri"/>
      <family val="1"/>
    </font>
    <font>
      <b/>
      <sz val="10"/>
      <color theme="0" tint="-0.14999847407452621"/>
      <name val="MS Sans Serif"/>
    </font>
    <font>
      <b/>
      <sz val="10"/>
      <color rgb="FFFF0000"/>
      <name val="MS Sans Serif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theme="0" tint="-0.14999847407452621"/>
      <name val="Arial Black"/>
      <family val="2"/>
    </font>
    <font>
      <b/>
      <sz val="10"/>
      <color rgb="FF00B050"/>
      <name val="MS Sans Serif"/>
    </font>
    <font>
      <sz val="10"/>
      <color rgb="FF00B050"/>
      <name val="MS Sans Serif"/>
    </font>
    <font>
      <sz val="11"/>
      <color theme="2" tint="-9.9978637043366805E-2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14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rgb="FF93F19E"/>
        <bgColor indexed="2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BBA79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gray0625">
        <bgColor theme="2" tint="-9.9978637043366805E-2"/>
      </patternFill>
    </fill>
  </fills>
  <borders count="74">
    <border>
      <left/>
      <right/>
      <top/>
      <bottom/>
      <diagonal/>
    </border>
    <border>
      <left style="thin">
        <color indexed="55"/>
      </left>
      <right/>
      <top style="thin">
        <color indexed="23"/>
      </top>
      <bottom style="thin">
        <color indexed="9"/>
      </bottom>
      <diagonal/>
    </border>
    <border>
      <left/>
      <right style="thin">
        <color indexed="55"/>
      </right>
      <top style="thin">
        <color indexed="23"/>
      </top>
      <bottom style="thin">
        <color indexed="9"/>
      </bottom>
      <diagonal/>
    </border>
    <border>
      <left style="thin">
        <color indexed="55"/>
      </left>
      <right/>
      <top/>
      <bottom style="thin">
        <color indexed="8"/>
      </bottom>
      <diagonal/>
    </border>
    <border>
      <left/>
      <right style="thin">
        <color indexed="55"/>
      </right>
      <top style="thin">
        <color indexed="9"/>
      </top>
      <bottom style="thin">
        <color indexed="8"/>
      </bottom>
      <diagonal/>
    </border>
    <border>
      <left style="thin">
        <color indexed="55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55"/>
      </right>
      <top style="thin">
        <color indexed="8"/>
      </top>
      <bottom/>
      <diagonal/>
    </border>
    <border>
      <left style="thin">
        <color indexed="8"/>
      </left>
      <right style="thin">
        <color indexed="55"/>
      </right>
      <top/>
      <bottom/>
      <diagonal/>
    </border>
    <border>
      <left style="thin">
        <color indexed="8"/>
      </left>
      <right style="thin">
        <color indexed="55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55"/>
      </left>
      <right/>
      <top style="thin">
        <color indexed="8"/>
      </top>
      <bottom style="thin">
        <color indexed="23"/>
      </bottom>
      <diagonal/>
    </border>
    <border>
      <left/>
      <right/>
      <top style="thin">
        <color indexed="8"/>
      </top>
      <bottom style="thin">
        <color indexed="23"/>
      </bottom>
      <diagonal/>
    </border>
    <border>
      <left/>
      <right style="thin">
        <color indexed="55"/>
      </right>
      <top style="thin">
        <color indexed="8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 style="thin">
        <color indexed="55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 style="hair">
        <color indexed="55"/>
      </right>
      <top style="thin">
        <color indexed="9"/>
      </top>
      <bottom style="thin">
        <color indexed="8"/>
      </bottom>
      <diagonal/>
    </border>
    <border>
      <left/>
      <right style="thin">
        <color indexed="55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1"/>
      </left>
      <right style="thin">
        <color theme="1" tint="1"/>
      </right>
      <top style="thin">
        <color theme="1" tint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44" fontId="31" fillId="0" borderId="0" applyFont="0" applyFill="0" applyBorder="0" applyAlignment="0" applyProtection="0"/>
  </cellStyleXfs>
  <cellXfs count="284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2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1" fontId="13" fillId="3" borderId="5" xfId="0" applyNumberFormat="1" applyFont="1" applyFill="1" applyBorder="1" applyAlignment="1">
      <alignment horizontal="center" vertical="center"/>
    </xf>
    <xf numFmtId="1" fontId="13" fillId="3" borderId="6" xfId="0" applyNumberFormat="1" applyFont="1" applyFill="1" applyBorder="1" applyAlignment="1">
      <alignment horizontal="center" vertical="center"/>
    </xf>
    <xf numFmtId="2" fontId="12" fillId="3" borderId="7" xfId="0" applyNumberFormat="1" applyFont="1" applyFill="1" applyBorder="1" applyAlignment="1">
      <alignment horizontal="center" vertical="center"/>
    </xf>
    <xf numFmtId="164" fontId="14" fillId="3" borderId="6" xfId="0" applyNumberFormat="1" applyFont="1" applyFill="1" applyBorder="1" applyAlignment="1">
      <alignment horizontal="center" vertical="center"/>
    </xf>
    <xf numFmtId="2" fontId="14" fillId="3" borderId="8" xfId="0" applyNumberFormat="1" applyFont="1" applyFill="1" applyBorder="1" applyAlignment="1">
      <alignment horizontal="center" vertical="center"/>
    </xf>
    <xf numFmtId="2" fontId="12" fillId="3" borderId="6" xfId="0" applyNumberFormat="1" applyFont="1" applyFill="1" applyBorder="1" applyAlignment="1">
      <alignment horizontal="center" vertical="center"/>
    </xf>
    <xf numFmtId="2" fontId="14" fillId="3" borderId="9" xfId="0" applyNumberFormat="1" applyFont="1" applyFill="1" applyBorder="1" applyAlignment="1">
      <alignment horizontal="center" vertical="center"/>
    </xf>
    <xf numFmtId="1" fontId="13" fillId="5" borderId="10" xfId="0" applyNumberFormat="1" applyFont="1" applyFill="1" applyBorder="1" applyAlignment="1">
      <alignment horizontal="center" vertical="center"/>
    </xf>
    <xf numFmtId="1" fontId="13" fillId="5" borderId="0" xfId="0" applyNumberFormat="1" applyFont="1" applyFill="1" applyAlignment="1">
      <alignment horizontal="center" vertical="center"/>
    </xf>
    <xf numFmtId="2" fontId="12" fillId="5" borderId="11" xfId="0" applyNumberFormat="1" applyFont="1" applyFill="1" applyBorder="1" applyAlignment="1">
      <alignment horizontal="center" vertical="center"/>
    </xf>
    <xf numFmtId="164" fontId="14" fillId="5" borderId="0" xfId="0" applyNumberFormat="1" applyFont="1" applyFill="1" applyAlignment="1">
      <alignment horizontal="center" vertical="center"/>
    </xf>
    <xf numFmtId="2" fontId="14" fillId="5" borderId="12" xfId="0" applyNumberFormat="1" applyFont="1" applyFill="1" applyBorder="1" applyAlignment="1">
      <alignment horizontal="center" vertical="center"/>
    </xf>
    <xf numFmtId="2" fontId="12" fillId="5" borderId="0" xfId="0" applyNumberFormat="1" applyFont="1" applyFill="1" applyAlignment="1">
      <alignment horizontal="center" vertical="center"/>
    </xf>
    <xf numFmtId="2" fontId="14" fillId="5" borderId="13" xfId="0" applyNumberFormat="1" applyFont="1" applyFill="1" applyBorder="1" applyAlignment="1">
      <alignment horizontal="center" vertical="center"/>
    </xf>
    <xf numFmtId="1" fontId="13" fillId="3" borderId="10" xfId="0" applyNumberFormat="1" applyFont="1" applyFill="1" applyBorder="1" applyAlignment="1">
      <alignment horizontal="center" vertical="center"/>
    </xf>
    <xf numFmtId="1" fontId="13" fillId="3" borderId="0" xfId="0" applyNumberFormat="1" applyFont="1" applyFill="1" applyAlignment="1">
      <alignment horizontal="center" vertical="center"/>
    </xf>
    <xf numFmtId="2" fontId="12" fillId="3" borderId="11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Alignment="1">
      <alignment horizontal="center" vertical="center"/>
    </xf>
    <xf numFmtId="2" fontId="14" fillId="3" borderId="12" xfId="0" applyNumberFormat="1" applyFont="1" applyFill="1" applyBorder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2" fontId="14" fillId="3" borderId="13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" fillId="5" borderId="14" xfId="0" applyFont="1" applyFill="1" applyBorder="1" applyAlignment="1">
      <alignment vertical="center" wrapText="1"/>
    </xf>
    <xf numFmtId="0" fontId="4" fillId="5" borderId="15" xfId="0" applyFont="1" applyFill="1" applyBorder="1" applyAlignment="1">
      <alignment vertical="center" wrapText="1"/>
    </xf>
    <xf numFmtId="0" fontId="4" fillId="5" borderId="16" xfId="0" applyFont="1" applyFill="1" applyBorder="1" applyAlignment="1">
      <alignment vertical="center" wrapText="1"/>
    </xf>
    <xf numFmtId="1" fontId="13" fillId="5" borderId="3" xfId="0" applyNumberFormat="1" applyFont="1" applyFill="1" applyBorder="1" applyAlignment="1">
      <alignment horizontal="center" vertical="center"/>
    </xf>
    <xf numFmtId="1" fontId="13" fillId="5" borderId="17" xfId="0" applyNumberFormat="1" applyFont="1" applyFill="1" applyBorder="1" applyAlignment="1">
      <alignment horizontal="center" vertical="center"/>
    </xf>
    <xf numFmtId="2" fontId="12" fillId="5" borderId="18" xfId="0" applyNumberFormat="1" applyFont="1" applyFill="1" applyBorder="1" applyAlignment="1">
      <alignment horizontal="center" vertical="center"/>
    </xf>
    <xf numFmtId="164" fontId="14" fillId="5" borderId="17" xfId="0" applyNumberFormat="1" applyFont="1" applyFill="1" applyBorder="1" applyAlignment="1">
      <alignment horizontal="center" vertical="center"/>
    </xf>
    <xf numFmtId="2" fontId="14" fillId="5" borderId="19" xfId="0" applyNumberFormat="1" applyFont="1" applyFill="1" applyBorder="1" applyAlignment="1">
      <alignment horizontal="center" vertical="center"/>
    </xf>
    <xf numFmtId="2" fontId="12" fillId="5" borderId="17" xfId="0" applyNumberFormat="1" applyFont="1" applyFill="1" applyBorder="1" applyAlignment="1">
      <alignment horizontal="center" vertical="center"/>
    </xf>
    <xf numFmtId="2" fontId="14" fillId="5" borderId="20" xfId="0" applyNumberFormat="1" applyFont="1" applyFill="1" applyBorder="1" applyAlignment="1">
      <alignment horizontal="center" vertical="center"/>
    </xf>
    <xf numFmtId="1" fontId="17" fillId="0" borderId="6" xfId="0" applyNumberFormat="1" applyFont="1" applyBorder="1" applyAlignment="1">
      <alignment horizontal="left" vertical="center"/>
    </xf>
    <xf numFmtId="0" fontId="0" fillId="0" borderId="0" xfId="0" applyAlignment="1">
      <alignment horizontal="center"/>
    </xf>
    <xf numFmtId="2" fontId="1" fillId="9" borderId="30" xfId="0" applyNumberFormat="1" applyFont="1" applyFill="1" applyBorder="1" applyAlignment="1" applyProtection="1">
      <alignment horizontal="center" vertical="center"/>
      <protection locked="0" hidden="1"/>
    </xf>
    <xf numFmtId="0" fontId="1" fillId="9" borderId="30" xfId="0" applyFont="1" applyFill="1" applyBorder="1" applyAlignment="1" applyProtection="1">
      <alignment horizontal="center" vertical="center"/>
      <protection locked="0" hidden="1"/>
    </xf>
    <xf numFmtId="0" fontId="0" fillId="6" borderId="35" xfId="0" applyFill="1" applyBorder="1" applyProtection="1">
      <protection hidden="1"/>
    </xf>
    <xf numFmtId="0" fontId="0" fillId="6" borderId="36" xfId="0" applyFill="1" applyBorder="1" applyProtection="1">
      <protection hidden="1"/>
    </xf>
    <xf numFmtId="0" fontId="0" fillId="6" borderId="36" xfId="0" applyFill="1" applyBorder="1" applyAlignment="1" applyProtection="1">
      <alignment horizontal="center"/>
      <protection hidden="1"/>
    </xf>
    <xf numFmtId="0" fontId="0" fillId="6" borderId="37" xfId="0" applyFill="1" applyBorder="1" applyProtection="1">
      <protection hidden="1"/>
    </xf>
    <xf numFmtId="0" fontId="0" fillId="6" borderId="38" xfId="0" applyFill="1" applyBorder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center"/>
      <protection hidden="1"/>
    </xf>
    <xf numFmtId="0" fontId="0" fillId="6" borderId="39" xfId="0" applyFill="1" applyBorder="1" applyProtection="1">
      <protection hidden="1"/>
    </xf>
    <xf numFmtId="0" fontId="30" fillId="6" borderId="0" xfId="0" applyFont="1" applyFill="1" applyProtection="1">
      <protection hidden="1"/>
    </xf>
    <xf numFmtId="0" fontId="29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1" fillId="6" borderId="0" xfId="0" applyFont="1" applyFill="1" applyAlignment="1" applyProtection="1">
      <alignment horizontal="right"/>
      <protection hidden="1"/>
    </xf>
    <xf numFmtId="0" fontId="0" fillId="6" borderId="0" xfId="0" applyFill="1" applyAlignment="1" applyProtection="1">
      <alignment horizontal="right"/>
      <protection hidden="1"/>
    </xf>
    <xf numFmtId="0" fontId="1" fillId="6" borderId="0" xfId="0" applyFont="1" applyFill="1" applyProtection="1">
      <protection hidden="1"/>
    </xf>
    <xf numFmtId="0" fontId="1" fillId="6" borderId="0" xfId="0" applyFont="1" applyFill="1" applyAlignment="1" applyProtection="1">
      <alignment horizontal="center"/>
      <protection hidden="1"/>
    </xf>
    <xf numFmtId="0" fontId="28" fillId="6" borderId="0" xfId="0" applyFont="1" applyFill="1" applyProtection="1">
      <protection hidden="1"/>
    </xf>
    <xf numFmtId="0" fontId="23" fillId="6" borderId="0" xfId="0" applyFont="1" applyFill="1" applyAlignment="1" applyProtection="1">
      <alignment horizontal="center"/>
      <protection hidden="1"/>
    </xf>
    <xf numFmtId="0" fontId="27" fillId="7" borderId="34" xfId="0" applyFont="1" applyFill="1" applyBorder="1" applyAlignment="1" applyProtection="1">
      <alignment vertical="center"/>
      <protection hidden="1"/>
    </xf>
    <xf numFmtId="0" fontId="27" fillId="7" borderId="0" xfId="0" applyFont="1" applyFill="1" applyAlignment="1" applyProtection="1">
      <alignment vertical="center"/>
      <protection hidden="1"/>
    </xf>
    <xf numFmtId="0" fontId="20" fillId="6" borderId="0" xfId="0" applyFont="1" applyFill="1" applyProtection="1">
      <protection hidden="1"/>
    </xf>
    <xf numFmtId="167" fontId="1" fillId="7" borderId="0" xfId="0" applyNumberFormat="1" applyFont="1" applyFill="1" applyAlignment="1" applyProtection="1">
      <alignment horizontal="center"/>
      <protection hidden="1"/>
    </xf>
    <xf numFmtId="0" fontId="0" fillId="7" borderId="0" xfId="0" applyFill="1" applyProtection="1">
      <protection hidden="1"/>
    </xf>
    <xf numFmtId="0" fontId="0" fillId="7" borderId="34" xfId="0" applyFill="1" applyBorder="1" applyProtection="1">
      <protection hidden="1"/>
    </xf>
    <xf numFmtId="0" fontId="1" fillId="6" borderId="0" xfId="0" applyFont="1" applyFill="1" applyAlignment="1" applyProtection="1">
      <alignment horizontal="left"/>
      <protection hidden="1"/>
    </xf>
    <xf numFmtId="0" fontId="20" fillId="6" borderId="38" xfId="0" applyFont="1" applyFill="1" applyBorder="1" applyProtection="1">
      <protection hidden="1"/>
    </xf>
    <xf numFmtId="0" fontId="0" fillId="10" borderId="34" xfId="0" applyFill="1" applyBorder="1" applyProtection="1">
      <protection hidden="1"/>
    </xf>
    <xf numFmtId="0" fontId="0" fillId="6" borderId="40" xfId="0" applyFill="1" applyBorder="1" applyProtection="1">
      <protection hidden="1"/>
    </xf>
    <xf numFmtId="0" fontId="0" fillId="6" borderId="41" xfId="0" applyFill="1" applyBorder="1" applyProtection="1">
      <protection hidden="1"/>
    </xf>
    <xf numFmtId="0" fontId="0" fillId="6" borderId="41" xfId="0" applyFill="1" applyBorder="1" applyAlignment="1" applyProtection="1">
      <alignment horizontal="center"/>
      <protection hidden="1"/>
    </xf>
    <xf numFmtId="0" fontId="0" fillId="6" borderId="42" xfId="0" applyFill="1" applyBorder="1" applyProtection="1">
      <protection hidden="1"/>
    </xf>
    <xf numFmtId="0" fontId="24" fillId="8" borderId="30" xfId="0" applyFont="1" applyFill="1" applyBorder="1" applyAlignment="1" applyProtection="1">
      <alignment horizontal="center"/>
      <protection locked="0" hidden="1"/>
    </xf>
    <xf numFmtId="0" fontId="33" fillId="7" borderId="0" xfId="0" applyFont="1" applyFill="1" applyProtection="1">
      <protection hidden="1"/>
    </xf>
    <xf numFmtId="0" fontId="0" fillId="11" borderId="0" xfId="0" applyFill="1"/>
    <xf numFmtId="0" fontId="34" fillId="11" borderId="0" xfId="0" applyFont="1" applyFill="1"/>
    <xf numFmtId="0" fontId="35" fillId="11" borderId="0" xfId="0" applyFont="1" applyFill="1"/>
    <xf numFmtId="0" fontId="1" fillId="11" borderId="0" xfId="0" applyFont="1" applyFill="1"/>
    <xf numFmtId="0" fontId="36" fillId="11" borderId="0" xfId="0" applyFont="1" applyFill="1"/>
    <xf numFmtId="0" fontId="0" fillId="7" borderId="0" xfId="0" applyFill="1"/>
    <xf numFmtId="0" fontId="1" fillId="7" borderId="0" xfId="0" applyFont="1" applyFill="1"/>
    <xf numFmtId="0" fontId="25" fillId="7" borderId="0" xfId="0" applyFont="1" applyFill="1"/>
    <xf numFmtId="0" fontId="0" fillId="7" borderId="29" xfId="0" applyFill="1" applyBorder="1"/>
    <xf numFmtId="2" fontId="0" fillId="7" borderId="0" xfId="0" applyNumberFormat="1" applyFill="1"/>
    <xf numFmtId="49" fontId="0" fillId="7" borderId="0" xfId="0" applyNumberFormat="1" applyFill="1"/>
    <xf numFmtId="0" fontId="1" fillId="7" borderId="43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8" fillId="0" borderId="0" xfId="0" applyFont="1"/>
    <xf numFmtId="0" fontId="1" fillId="0" borderId="0" xfId="0" applyFont="1"/>
    <xf numFmtId="0" fontId="0" fillId="0" borderId="29" xfId="0" applyBorder="1"/>
    <xf numFmtId="2" fontId="0" fillId="0" borderId="0" xfId="0" applyNumberFormat="1"/>
    <xf numFmtId="49" fontId="0" fillId="0" borderId="0" xfId="0" applyNumberFormat="1"/>
    <xf numFmtId="0" fontId="1" fillId="0" borderId="2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12" borderId="0" xfId="0" applyFill="1"/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49" fontId="0" fillId="0" borderId="0" xfId="0" applyNumberFormat="1" applyProtection="1">
      <protection locked="0"/>
    </xf>
    <xf numFmtId="166" fontId="0" fillId="0" borderId="0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170" fontId="42" fillId="16" borderId="51" xfId="0" applyNumberFormat="1" applyFont="1" applyFill="1" applyBorder="1" applyAlignment="1" applyProtection="1">
      <alignment horizontal="center" vertical="center"/>
      <protection locked="0"/>
    </xf>
    <xf numFmtId="0" fontId="42" fillId="17" borderId="51" xfId="0" applyFont="1" applyFill="1" applyBorder="1" applyAlignment="1" applyProtection="1">
      <alignment horizontal="center" vertical="center"/>
      <protection locked="0" hidden="1"/>
    </xf>
    <xf numFmtId="169" fontId="40" fillId="0" borderId="0" xfId="0" applyNumberFormat="1" applyFont="1" applyAlignment="1" applyProtection="1">
      <alignment vertical="center"/>
      <protection hidden="1"/>
    </xf>
    <xf numFmtId="0" fontId="4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2" fontId="42" fillId="16" borderId="51" xfId="0" applyNumberFormat="1" applyFont="1" applyFill="1" applyBorder="1" applyAlignment="1">
      <alignment horizontal="center" vertical="center"/>
    </xf>
    <xf numFmtId="0" fontId="54" fillId="6" borderId="0" xfId="0" applyFont="1" applyFill="1" applyAlignment="1" applyProtection="1">
      <alignment horizontal="center"/>
      <protection hidden="1"/>
    </xf>
    <xf numFmtId="0" fontId="0" fillId="7" borderId="0" xfId="0" applyFill="1" applyAlignment="1">
      <alignment horizontal="right"/>
    </xf>
    <xf numFmtId="0" fontId="55" fillId="0" borderId="0" xfId="0" applyFont="1" applyProtection="1">
      <protection locked="0"/>
    </xf>
    <xf numFmtId="0" fontId="47" fillId="17" borderId="51" xfId="0" applyFont="1" applyFill="1" applyBorder="1" applyProtection="1">
      <protection locked="0" hidden="1"/>
    </xf>
    <xf numFmtId="2" fontId="42" fillId="15" borderId="51" xfId="0" applyNumberFormat="1" applyFont="1" applyFill="1" applyBorder="1" applyAlignment="1">
      <alignment horizontal="center" vertical="center"/>
    </xf>
    <xf numFmtId="0" fontId="1" fillId="7" borderId="0" xfId="0" applyFont="1" applyFill="1" applyProtection="1">
      <protection hidden="1"/>
    </xf>
    <xf numFmtId="0" fontId="1" fillId="7" borderId="0" xfId="0" applyFont="1" applyFill="1" applyAlignment="1" applyProtection="1">
      <alignment horizontal="center"/>
      <protection hidden="1"/>
    </xf>
    <xf numFmtId="0" fontId="1" fillId="7" borderId="34" xfId="0" applyFont="1" applyFill="1" applyBorder="1" applyProtection="1">
      <protection hidden="1"/>
    </xf>
    <xf numFmtId="0" fontId="58" fillId="6" borderId="0" xfId="0" applyFont="1" applyFill="1" applyAlignment="1" applyProtection="1">
      <alignment horizontal="center"/>
      <protection hidden="1"/>
    </xf>
    <xf numFmtId="0" fontId="30" fillId="6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locked="0"/>
    </xf>
    <xf numFmtId="49" fontId="18" fillId="6" borderId="0" xfId="0" applyNumberFormat="1" applyFont="1" applyFill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20" fillId="6" borderId="0" xfId="0" applyFont="1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0" fillId="10" borderId="0" xfId="0" applyFill="1" applyAlignment="1" applyProtection="1">
      <alignment horizontal="right"/>
      <protection hidden="1"/>
    </xf>
    <xf numFmtId="0" fontId="0" fillId="10" borderId="0" xfId="0" applyFill="1" applyProtection="1">
      <protection hidden="1"/>
    </xf>
    <xf numFmtId="167" fontId="0" fillId="10" borderId="0" xfId="0" applyNumberFormat="1" applyFill="1" applyAlignment="1" applyProtection="1">
      <alignment horizontal="center"/>
      <protection hidden="1"/>
    </xf>
    <xf numFmtId="168" fontId="0" fillId="10" borderId="0" xfId="0" applyNumberFormat="1" applyFill="1" applyAlignment="1" applyProtection="1">
      <alignment horizontal="center"/>
      <protection hidden="1"/>
    </xf>
    <xf numFmtId="0" fontId="0" fillId="6" borderId="0" xfId="0" applyFill="1" applyAlignment="1" applyProtection="1">
      <alignment horizontal="left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171" fontId="59" fillId="7" borderId="0" xfId="0" applyNumberFormat="1" applyFont="1" applyFill="1" applyAlignment="1" applyProtection="1">
      <alignment horizontal="center"/>
      <protection hidden="1"/>
    </xf>
    <xf numFmtId="171" fontId="60" fillId="10" borderId="0" xfId="0" applyNumberFormat="1" applyFont="1" applyFill="1" applyAlignment="1" applyProtection="1">
      <alignment horizontal="center"/>
      <protection hidden="1"/>
    </xf>
    <xf numFmtId="169" fontId="40" fillId="14" borderId="69" xfId="0" applyNumberFormat="1" applyFont="1" applyFill="1" applyBorder="1" applyAlignment="1" applyProtection="1">
      <alignment vertical="center"/>
      <protection hidden="1"/>
    </xf>
    <xf numFmtId="2" fontId="0" fillId="14" borderId="70" xfId="0" applyNumberFormat="1" applyFill="1" applyBorder="1" applyProtection="1">
      <protection hidden="1"/>
    </xf>
    <xf numFmtId="0" fontId="0" fillId="18" borderId="71" xfId="0" applyFill="1" applyBorder="1" applyAlignment="1">
      <alignment horizontal="center"/>
    </xf>
    <xf numFmtId="0" fontId="0" fillId="14" borderId="68" xfId="0" applyFill="1" applyBorder="1" applyProtection="1">
      <protection hidden="1"/>
    </xf>
    <xf numFmtId="2" fontId="0" fillId="14" borderId="69" xfId="0" applyNumberFormat="1" applyFill="1" applyBorder="1" applyProtection="1">
      <protection hidden="1"/>
    </xf>
    <xf numFmtId="0" fontId="40" fillId="13" borderId="64" xfId="0" applyFont="1" applyFill="1" applyBorder="1" applyAlignment="1">
      <alignment vertical="center"/>
    </xf>
    <xf numFmtId="0" fontId="42" fillId="13" borderId="51" xfId="0" applyFont="1" applyFill="1" applyBorder="1" applyAlignment="1" applyProtection="1">
      <alignment horizontal="center" vertical="center"/>
      <protection locked="0" hidden="1"/>
    </xf>
    <xf numFmtId="0" fontId="42" fillId="15" borderId="51" xfId="0" applyFont="1" applyFill="1" applyBorder="1" applyAlignment="1" applyProtection="1">
      <alignment horizontal="center"/>
      <protection locked="0" hidden="1"/>
    </xf>
    <xf numFmtId="0" fontId="54" fillId="6" borderId="0" xfId="0" applyFont="1" applyFill="1" applyAlignment="1" applyProtection="1">
      <alignment horizontal="center"/>
      <protection locked="0" hidden="1"/>
    </xf>
    <xf numFmtId="0" fontId="0" fillId="12" borderId="0" xfId="0" applyFill="1" applyAlignment="1">
      <alignment horizontal="center"/>
    </xf>
    <xf numFmtId="14" fontId="38" fillId="12" borderId="0" xfId="0" applyNumberFormat="1" applyFont="1" applyFill="1"/>
    <xf numFmtId="14" fontId="37" fillId="12" borderId="0" xfId="0" applyNumberFormat="1" applyFont="1" applyFill="1"/>
    <xf numFmtId="0" fontId="39" fillId="12" borderId="0" xfId="0" applyFont="1" applyFill="1"/>
    <xf numFmtId="0" fontId="39" fillId="12" borderId="0" xfId="0" applyFont="1" applyFill="1" applyAlignment="1">
      <alignment horizontal="center"/>
    </xf>
    <xf numFmtId="0" fontId="40" fillId="12" borderId="44" xfId="0" applyFont="1" applyFill="1" applyBorder="1" applyAlignment="1">
      <alignment vertical="center"/>
    </xf>
    <xf numFmtId="2" fontId="0" fillId="12" borderId="45" xfId="0" applyNumberFormat="1" applyFill="1" applyBorder="1"/>
    <xf numFmtId="2" fontId="0" fillId="12" borderId="67" xfId="0" applyNumberFormat="1" applyFill="1" applyBorder="1"/>
    <xf numFmtId="0" fontId="38" fillId="12" borderId="0" xfId="0" applyFont="1" applyFill="1"/>
    <xf numFmtId="0" fontId="38" fillId="12" borderId="0" xfId="0" applyFont="1" applyFill="1" applyAlignment="1">
      <alignment horizontal="right"/>
    </xf>
    <xf numFmtId="0" fontId="41" fillId="12" borderId="0" xfId="0" applyFont="1" applyFill="1" applyAlignment="1">
      <alignment horizontal="left"/>
    </xf>
    <xf numFmtId="0" fontId="40" fillId="12" borderId="0" xfId="0" applyFont="1" applyFill="1" applyAlignment="1" applyProtection="1">
      <alignment vertical="center"/>
      <protection hidden="1"/>
    </xf>
    <xf numFmtId="169" fontId="40" fillId="12" borderId="0" xfId="0" applyNumberFormat="1" applyFont="1" applyFill="1" applyAlignment="1" applyProtection="1">
      <alignment vertical="center"/>
      <protection hidden="1"/>
    </xf>
    <xf numFmtId="0" fontId="0" fillId="12" borderId="0" xfId="0" applyFill="1" applyProtection="1">
      <protection hidden="1"/>
    </xf>
    <xf numFmtId="0" fontId="0" fillId="12" borderId="0" xfId="0" applyFill="1" applyAlignment="1" applyProtection="1">
      <alignment horizontal="center"/>
      <protection hidden="1"/>
    </xf>
    <xf numFmtId="2" fontId="0" fillId="12" borderId="0" xfId="0" applyNumberFormat="1" applyFill="1" applyProtection="1">
      <protection hidden="1"/>
    </xf>
    <xf numFmtId="0" fontId="42" fillId="12" borderId="0" xfId="0" applyFont="1" applyFill="1" applyAlignment="1" applyProtection="1">
      <alignment vertical="center"/>
      <protection hidden="1"/>
    </xf>
    <xf numFmtId="169" fontId="42" fillId="12" borderId="0" xfId="0" applyNumberFormat="1" applyFont="1" applyFill="1" applyAlignment="1" applyProtection="1">
      <alignment vertical="center"/>
      <protection hidden="1"/>
    </xf>
    <xf numFmtId="0" fontId="40" fillId="12" borderId="0" xfId="0" applyFont="1" applyFill="1" applyAlignment="1">
      <alignment vertical="center"/>
    </xf>
    <xf numFmtId="0" fontId="0" fillId="12" borderId="0" xfId="0" applyFill="1" applyAlignment="1">
      <alignment horizontal="right"/>
    </xf>
    <xf numFmtId="0" fontId="56" fillId="20" borderId="65" xfId="0" applyFont="1" applyFill="1" applyBorder="1" applyAlignment="1">
      <alignment vertical="center"/>
    </xf>
    <xf numFmtId="0" fontId="0" fillId="21" borderId="54" xfId="0" applyFill="1" applyBorder="1" applyProtection="1">
      <protection hidden="1"/>
    </xf>
    <xf numFmtId="169" fontId="40" fillId="12" borderId="44" xfId="0" applyNumberFormat="1" applyFont="1" applyFill="1" applyBorder="1" applyAlignment="1">
      <alignment vertical="center"/>
    </xf>
    <xf numFmtId="0" fontId="57" fillId="20" borderId="0" xfId="0" applyFont="1" applyFill="1" applyAlignment="1">
      <alignment vertical="center"/>
    </xf>
    <xf numFmtId="0" fontId="43" fillId="12" borderId="0" xfId="0" applyFont="1" applyFill="1"/>
    <xf numFmtId="0" fontId="45" fillId="12" borderId="0" xfId="0" applyFont="1" applyFill="1"/>
    <xf numFmtId="2" fontId="40" fillId="12" borderId="44" xfId="0" applyNumberFormat="1" applyFont="1" applyFill="1" applyBorder="1" applyAlignment="1">
      <alignment vertical="center"/>
    </xf>
    <xf numFmtId="2" fontId="0" fillId="12" borderId="0" xfId="0" applyNumberFormat="1" applyFill="1"/>
    <xf numFmtId="0" fontId="0" fillId="12" borderId="0" xfId="0" applyFill="1" applyAlignment="1">
      <alignment vertical="center" wrapText="1"/>
    </xf>
    <xf numFmtId="2" fontId="38" fillId="12" borderId="0" xfId="0" applyNumberFormat="1" applyFont="1" applyFill="1"/>
    <xf numFmtId="49" fontId="40" fillId="12" borderId="44" xfId="0" applyNumberFormat="1" applyFont="1" applyFill="1" applyBorder="1" applyAlignment="1">
      <alignment vertical="center"/>
    </xf>
    <xf numFmtId="0" fontId="40" fillId="12" borderId="0" xfId="0" applyFont="1" applyFill="1" applyAlignment="1">
      <alignment horizontal="right" vertical="center"/>
    </xf>
    <xf numFmtId="2" fontId="0" fillId="12" borderId="29" xfId="0" applyNumberFormat="1" applyFill="1" applyBorder="1"/>
    <xf numFmtId="0" fontId="0" fillId="12" borderId="0" xfId="0" applyFill="1" applyAlignment="1" applyProtection="1">
      <alignment vertical="center"/>
      <protection hidden="1"/>
    </xf>
    <xf numFmtId="0" fontId="0" fillId="12" borderId="0" xfId="0" applyFill="1" applyAlignment="1" applyProtection="1">
      <alignment vertical="center" wrapText="1"/>
      <protection hidden="1"/>
    </xf>
    <xf numFmtId="0" fontId="0" fillId="12" borderId="0" xfId="0" applyFill="1" applyAlignment="1" applyProtection="1">
      <alignment horizontal="center" vertical="center" wrapText="1"/>
      <protection hidden="1"/>
    </xf>
    <xf numFmtId="0" fontId="48" fillId="12" borderId="0" xfId="0" applyFont="1" applyFill="1" applyAlignment="1">
      <alignment vertical="center"/>
    </xf>
    <xf numFmtId="0" fontId="49" fillId="12" borderId="0" xfId="0" applyFont="1" applyFill="1"/>
    <xf numFmtId="0" fontId="49" fillId="12" borderId="0" xfId="0" applyFont="1" applyFill="1" applyProtection="1">
      <protection hidden="1"/>
    </xf>
    <xf numFmtId="0" fontId="41" fillId="12" borderId="0" xfId="0" applyFont="1" applyFill="1" applyProtection="1">
      <protection hidden="1"/>
    </xf>
    <xf numFmtId="0" fontId="38" fillId="12" borderId="0" xfId="0" applyFont="1" applyFill="1" applyProtection="1">
      <protection hidden="1"/>
    </xf>
    <xf numFmtId="0" fontId="47" fillId="12" borderId="0" xfId="0" applyFont="1" applyFill="1" applyAlignment="1">
      <alignment vertical="center"/>
    </xf>
    <xf numFmtId="0" fontId="37" fillId="12" borderId="0" xfId="0" applyFont="1" applyFill="1" applyAlignment="1">
      <alignment horizontal="left"/>
    </xf>
    <xf numFmtId="0" fontId="50" fillId="12" borderId="63" xfId="0" applyFont="1" applyFill="1" applyBorder="1" applyAlignment="1">
      <alignment horizontal="left" vertical="top" wrapText="1"/>
    </xf>
    <xf numFmtId="0" fontId="52" fillId="12" borderId="63" xfId="0" applyFont="1" applyFill="1" applyBorder="1" applyAlignment="1">
      <alignment horizontal="center" vertical="top" wrapText="1"/>
    </xf>
    <xf numFmtId="0" fontId="38" fillId="12" borderId="29" xfId="0" applyFont="1" applyFill="1" applyBorder="1"/>
    <xf numFmtId="0" fontId="52" fillId="12" borderId="29" xfId="0" applyFont="1" applyFill="1" applyBorder="1" applyAlignment="1">
      <alignment horizontal="center" vertical="top" wrapText="1"/>
    </xf>
    <xf numFmtId="0" fontId="52" fillId="12" borderId="66" xfId="0" applyFont="1" applyFill="1" applyBorder="1" applyAlignment="1">
      <alignment horizontal="center" vertical="top" wrapText="1"/>
    </xf>
    <xf numFmtId="2" fontId="0" fillId="12" borderId="13" xfId="0" applyNumberFormat="1" applyFill="1" applyBorder="1"/>
    <xf numFmtId="0" fontId="53" fillId="12" borderId="29" xfId="0" applyFont="1" applyFill="1" applyBorder="1" applyAlignment="1">
      <alignment horizontal="left" vertical="top" wrapText="1"/>
    </xf>
    <xf numFmtId="0" fontId="50" fillId="12" borderId="0" xfId="0" applyFont="1" applyFill="1" applyAlignment="1">
      <alignment horizontal="left" vertical="top" wrapText="1"/>
    </xf>
    <xf numFmtId="0" fontId="0" fillId="21" borderId="46" xfId="0" applyFill="1" applyBorder="1"/>
    <xf numFmtId="0" fontId="0" fillId="21" borderId="47" xfId="0" applyFill="1" applyBorder="1"/>
    <xf numFmtId="0" fontId="0" fillId="21" borderId="47" xfId="0" applyFill="1" applyBorder="1" applyAlignment="1">
      <alignment horizontal="center"/>
    </xf>
    <xf numFmtId="0" fontId="0" fillId="21" borderId="48" xfId="0" applyFill="1" applyBorder="1"/>
    <xf numFmtId="0" fontId="0" fillId="21" borderId="49" xfId="0" applyFill="1" applyBorder="1"/>
    <xf numFmtId="0" fontId="0" fillId="21" borderId="50" xfId="0" applyFill="1" applyBorder="1"/>
    <xf numFmtId="0" fontId="0" fillId="21" borderId="0" xfId="0" applyFill="1" applyAlignment="1">
      <alignment horizontal="center" vertical="center"/>
    </xf>
    <xf numFmtId="0" fontId="0" fillId="21" borderId="0" xfId="0" applyFill="1" applyAlignment="1">
      <alignment horizontal="center" vertical="center" wrapText="1"/>
    </xf>
    <xf numFmtId="0" fontId="0" fillId="21" borderId="52" xfId="0" applyFill="1" applyBorder="1"/>
    <xf numFmtId="0" fontId="40" fillId="21" borderId="53" xfId="0" applyFont="1" applyFill="1" applyBorder="1" applyAlignment="1" applyProtection="1">
      <alignment vertical="center"/>
      <protection hidden="1"/>
    </xf>
    <xf numFmtId="0" fontId="0" fillId="21" borderId="72" xfId="0" applyFill="1" applyBorder="1"/>
    <xf numFmtId="169" fontId="40" fillId="21" borderId="53" xfId="0" applyNumberFormat="1" applyFont="1" applyFill="1" applyBorder="1" applyAlignment="1" applyProtection="1">
      <alignment vertical="center"/>
      <protection hidden="1"/>
    </xf>
    <xf numFmtId="0" fontId="0" fillId="21" borderId="53" xfId="0" applyFill="1" applyBorder="1" applyProtection="1">
      <protection hidden="1"/>
    </xf>
    <xf numFmtId="0" fontId="0" fillId="21" borderId="53" xfId="0" applyFill="1" applyBorder="1" applyAlignment="1" applyProtection="1">
      <alignment horizontal="center"/>
      <protection hidden="1"/>
    </xf>
    <xf numFmtId="2" fontId="0" fillId="21" borderId="53" xfId="0" applyNumberFormat="1" applyFill="1" applyBorder="1" applyProtection="1">
      <protection hidden="1"/>
    </xf>
    <xf numFmtId="0" fontId="61" fillId="21" borderId="53" xfId="0" applyFont="1" applyFill="1" applyBorder="1" applyAlignment="1" applyProtection="1">
      <alignment horizontal="center"/>
      <protection hidden="1"/>
    </xf>
    <xf numFmtId="0" fontId="32" fillId="7" borderId="30" xfId="0" applyFont="1" applyFill="1" applyBorder="1" applyAlignment="1" applyProtection="1">
      <alignment horizontal="center" vertical="center"/>
      <protection hidden="1"/>
    </xf>
    <xf numFmtId="0" fontId="32" fillId="7" borderId="33" xfId="0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Alignment="1" applyProtection="1">
      <alignment horizontal="center" vertical="center"/>
      <protection hidden="1"/>
    </xf>
    <xf numFmtId="0" fontId="29" fillId="10" borderId="30" xfId="0" applyFont="1" applyFill="1" applyBorder="1" applyAlignment="1" applyProtection="1">
      <alignment horizontal="center"/>
      <protection hidden="1"/>
    </xf>
    <xf numFmtId="0" fontId="29" fillId="10" borderId="33" xfId="0" applyFont="1" applyFill="1" applyBorder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28" fillId="6" borderId="0" xfId="0" applyFont="1" applyFill="1" applyAlignment="1" applyProtection="1">
      <alignment horizontal="center"/>
      <protection hidden="1"/>
    </xf>
    <xf numFmtId="0" fontId="22" fillId="6" borderId="0" xfId="0" applyFont="1" applyFill="1" applyProtection="1">
      <protection hidden="1"/>
    </xf>
    <xf numFmtId="0" fontId="1" fillId="7" borderId="0" xfId="0" applyFont="1" applyFill="1" applyAlignment="1" applyProtection="1">
      <alignment horizontal="right"/>
      <protection hidden="1"/>
    </xf>
    <xf numFmtId="0" fontId="1" fillId="7" borderId="34" xfId="0" applyFont="1" applyFill="1" applyBorder="1" applyAlignment="1" applyProtection="1">
      <alignment horizontal="right"/>
      <protection hidden="1"/>
    </xf>
    <xf numFmtId="0" fontId="0" fillId="6" borderId="0" xfId="0" applyFill="1" applyAlignment="1" applyProtection="1">
      <alignment horizontal="center"/>
      <protection hidden="1"/>
    </xf>
    <xf numFmtId="0" fontId="0" fillId="7" borderId="29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31" xfId="0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29" xfId="0" applyNumberFormat="1" applyBorder="1" applyAlignment="1">
      <alignment horizontal="center"/>
    </xf>
    <xf numFmtId="2" fontId="0" fillId="0" borderId="31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1" fillId="12" borderId="0" xfId="0" applyFont="1" applyFill="1" applyAlignment="1">
      <alignment horizontal="left" vertical="center"/>
    </xf>
    <xf numFmtId="2" fontId="42" fillId="17" borderId="55" xfId="0" applyNumberFormat="1" applyFont="1" applyFill="1" applyBorder="1" applyAlignment="1">
      <alignment horizontal="center" vertical="center"/>
    </xf>
    <xf numFmtId="2" fontId="42" fillId="17" borderId="56" xfId="0" applyNumberFormat="1" applyFont="1" applyFill="1" applyBorder="1" applyAlignment="1">
      <alignment horizontal="center" vertical="center"/>
    </xf>
    <xf numFmtId="0" fontId="42" fillId="0" borderId="57" xfId="0" applyFont="1" applyBorder="1" applyAlignment="1" applyProtection="1">
      <alignment horizontal="center" vertical="center"/>
      <protection hidden="1"/>
    </xf>
    <xf numFmtId="0" fontId="42" fillId="0" borderId="58" xfId="0" applyFont="1" applyBorder="1" applyAlignment="1" applyProtection="1">
      <alignment horizontal="center" vertical="center"/>
      <protection hidden="1"/>
    </xf>
    <xf numFmtId="0" fontId="42" fillId="0" borderId="59" xfId="0" applyFont="1" applyBorder="1" applyAlignment="1" applyProtection="1">
      <alignment horizontal="center" vertical="center"/>
      <protection hidden="1"/>
    </xf>
    <xf numFmtId="0" fontId="34" fillId="0" borderId="60" xfId="0" applyFont="1" applyBorder="1" applyAlignment="1" applyProtection="1">
      <alignment horizontal="center"/>
      <protection hidden="1"/>
    </xf>
    <xf numFmtId="0" fontId="34" fillId="0" borderId="61" xfId="0" applyFont="1" applyBorder="1" applyAlignment="1" applyProtection="1">
      <alignment horizontal="center"/>
      <protection hidden="1"/>
    </xf>
    <xf numFmtId="0" fontId="34" fillId="0" borderId="62" xfId="0" applyFont="1" applyBorder="1" applyAlignment="1" applyProtection="1">
      <alignment horizontal="center"/>
      <protection hidden="1"/>
    </xf>
    <xf numFmtId="2" fontId="46" fillId="19" borderId="35" xfId="0" applyNumberFormat="1" applyFont="1" applyFill="1" applyBorder="1" applyAlignment="1">
      <alignment horizontal="center" vertical="center"/>
    </xf>
    <xf numFmtId="0" fontId="46" fillId="19" borderId="37" xfId="0" applyFont="1" applyFill="1" applyBorder="1" applyAlignment="1">
      <alignment horizontal="center" vertical="center"/>
    </xf>
    <xf numFmtId="0" fontId="46" fillId="19" borderId="40" xfId="0" applyFont="1" applyFill="1" applyBorder="1" applyAlignment="1">
      <alignment horizontal="center" vertical="center"/>
    </xf>
    <xf numFmtId="0" fontId="46" fillId="19" borderId="42" xfId="0" applyFont="1" applyFill="1" applyBorder="1" applyAlignment="1">
      <alignment horizontal="center" vertical="center"/>
    </xf>
    <xf numFmtId="2" fontId="42" fillId="13" borderId="55" xfId="0" applyNumberFormat="1" applyFont="1" applyFill="1" applyBorder="1" applyAlignment="1">
      <alignment horizontal="center" vertical="center"/>
    </xf>
    <xf numFmtId="2" fontId="42" fillId="13" borderId="56" xfId="0" applyNumberFormat="1" applyFont="1" applyFill="1" applyBorder="1" applyAlignment="1">
      <alignment horizontal="center" vertical="center"/>
    </xf>
    <xf numFmtId="0" fontId="0" fillId="21" borderId="13" xfId="0" applyFill="1" applyBorder="1" applyAlignment="1">
      <alignment horizontal="center" vertical="center" wrapText="1"/>
    </xf>
    <xf numFmtId="0" fontId="0" fillId="21" borderId="45" xfId="0" applyFill="1" applyBorder="1" applyAlignment="1">
      <alignment horizontal="center" vertical="center" wrapText="1"/>
    </xf>
    <xf numFmtId="0" fontId="0" fillId="21" borderId="11" xfId="0" applyFill="1" applyBorder="1" applyAlignment="1">
      <alignment horizontal="center" vertical="center" wrapText="1"/>
    </xf>
    <xf numFmtId="0" fontId="44" fillId="6" borderId="0" xfId="0" applyFont="1" applyFill="1" applyAlignment="1" applyProtection="1">
      <alignment horizontal="center" vertical="center"/>
      <protection hidden="1"/>
    </xf>
    <xf numFmtId="0" fontId="0" fillId="21" borderId="0" xfId="0" applyFill="1" applyAlignment="1">
      <alignment horizontal="center" vertical="center"/>
    </xf>
    <xf numFmtId="0" fontId="0" fillId="21" borderId="43" xfId="0" applyFill="1" applyBorder="1" applyAlignment="1">
      <alignment horizontal="center" wrapText="1"/>
    </xf>
    <xf numFmtId="0" fontId="0" fillId="21" borderId="68" xfId="0" applyFill="1" applyBorder="1" applyAlignment="1">
      <alignment horizontal="center" wrapText="1"/>
    </xf>
    <xf numFmtId="0" fontId="0" fillId="21" borderId="0" xfId="0" applyFill="1" applyAlignment="1">
      <alignment horizontal="center" vertical="center" wrapText="1"/>
    </xf>
    <xf numFmtId="14" fontId="0" fillId="12" borderId="0" xfId="0" applyNumberFormat="1" applyFill="1" applyAlignment="1">
      <alignment horizontal="center"/>
    </xf>
    <xf numFmtId="0" fontId="34" fillId="12" borderId="0" xfId="0" applyFont="1" applyFill="1" applyAlignment="1" applyProtection="1">
      <alignment horizontal="center" vertical="center"/>
      <protection locked="0"/>
    </xf>
    <xf numFmtId="0" fontId="0" fillId="12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22" fillId="9" borderId="30" xfId="0" applyFont="1" applyFill="1" applyBorder="1" applyAlignment="1" applyProtection="1">
      <alignment horizontal="center" vertical="center"/>
      <protection locked="0" hidden="1"/>
    </xf>
    <xf numFmtId="2" fontId="34" fillId="10" borderId="73" xfId="0" applyNumberFormat="1" applyFont="1" applyFill="1" applyBorder="1" applyAlignment="1" applyProtection="1">
      <alignment horizontal="center"/>
      <protection hidden="1"/>
    </xf>
  </cellXfs>
  <cellStyles count="3">
    <cellStyle name="Euro" xfId="1" xr:uid="{8CA87A4E-15C9-4143-8739-7560ED94D2F1}"/>
    <cellStyle name="Monétaire" xfId="2" builtinId="4"/>
    <cellStyle name="Normal" xfId="0" builtinId="0"/>
  </cellStyles>
  <dxfs count="19">
    <dxf>
      <font>
        <color theme="1"/>
      </font>
      <fill>
        <patternFill patternType="solid">
          <f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</dxf>
    <dxf>
      <font>
        <color rgb="FFFF0000"/>
      </font>
    </dxf>
    <dxf>
      <fill>
        <patternFill>
          <bgColor theme="9" tint="0.79998168889431442"/>
        </patternFill>
      </fill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</dxf>
    <dxf>
      <font>
        <color theme="1"/>
      </font>
    </dxf>
    <dxf>
      <fill>
        <patternFill>
          <bgColor theme="6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color theme="1"/>
      </font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FED7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9999FF"/>
      <rgbColor rgb="00993366"/>
      <rgbColor rgb="00FFFED7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FAB7D"/>
      <rgbColor rgb="00FFFF99"/>
      <rgbColor rgb="0099CCFF"/>
      <rgbColor rgb="00E1FFFF"/>
      <rgbColor rgb="00CC99FF"/>
      <rgbColor rgb="00FFCC99"/>
      <rgbColor rgb="003366FF"/>
      <rgbColor rgb="0033CCCC"/>
      <rgbColor rgb="0099CC00"/>
      <rgbColor rgb="00FFCC00"/>
      <rgbColor rgb="00010000"/>
      <rgbColor rgb="00FF6600"/>
      <rgbColor rgb="00666699"/>
      <rgbColor rgb="005F5F5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FFFF99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checked="Checked" lockText="1"/>
</file>

<file path=xl/ctrlProps/ctrlProp11.xml><?xml version="1.0" encoding="utf-8"?>
<formControlPr xmlns="http://schemas.microsoft.com/office/spreadsheetml/2009/9/main" objectType="Radio" lockText="1"/>
</file>

<file path=xl/ctrlProps/ctrlProp12.xml><?xml version="1.0" encoding="utf-8"?>
<formControlPr xmlns="http://schemas.microsoft.com/office/spreadsheetml/2009/9/main" objectType="Radio" lockText="1"/>
</file>

<file path=xl/ctrlProps/ctrlProp13.xml><?xml version="1.0" encoding="utf-8"?>
<formControlPr xmlns="http://schemas.microsoft.com/office/spreadsheetml/2009/9/main" objectType="Radio" checked="Checked" firstButton="1" fmlaLink="$AC$17" lockText="1"/>
</file>

<file path=xl/ctrlProps/ctrlProp14.xml><?xml version="1.0" encoding="utf-8"?>
<formControlPr xmlns="http://schemas.microsoft.com/office/spreadsheetml/2009/9/main" objectType="Radio" lockText="1"/>
</file>

<file path=xl/ctrlProps/ctrlProp15.xml><?xml version="1.0" encoding="utf-8"?>
<formControlPr xmlns="http://schemas.microsoft.com/office/spreadsheetml/2009/9/main" objectType="Radio" lockText="1"/>
</file>

<file path=xl/ctrlProps/ctrlProp16.xml><?xml version="1.0" encoding="utf-8"?>
<formControlPr xmlns="http://schemas.microsoft.com/office/spreadsheetml/2009/9/main" objectType="CheckBox" checked="Checked" fmlaLink="$AC$20" lockText="1"/>
</file>

<file path=xl/ctrlProps/ctrlProp17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Radio" firstButton="1" fmlaLink="$AC$22" lockText="1"/>
</file>

<file path=xl/ctrlProps/ctrlProp5.xml><?xml version="1.0" encoding="utf-8"?>
<formControlPr xmlns="http://schemas.microsoft.com/office/spreadsheetml/2009/9/main" objectType="Radio" checked="Checked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Radio" firstButton="1" fmlaLink="$AC$15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13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hyperlink" Target="#acv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9.png"/><Relationship Id="rId5" Type="http://schemas.openxmlformats.org/officeDocument/2006/relationships/image" Target="../media/image6.emf"/><Relationship Id="rId10" Type="http://schemas.openxmlformats.org/officeDocument/2006/relationships/hyperlink" Target="mailto:commerce@sac-guiraud.fr?subject=demande%20dimensionnement%20plancher%20" TargetMode="External"/><Relationship Id="rId4" Type="http://schemas.openxmlformats.org/officeDocument/2006/relationships/image" Target="../media/image5.png"/><Relationship Id="rId9" Type="http://schemas.openxmlformats.org/officeDocument/2006/relationships/hyperlink" Target="#descriptif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jpe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IM!A1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ac-gf.fr/nos-produits/planchers-poutrelles/seacoustic/seacoustic-3" TargetMode="External"/><Relationship Id="rId13" Type="http://schemas.openxmlformats.org/officeDocument/2006/relationships/image" Target="../media/image16.png"/><Relationship Id="rId18" Type="http://schemas.openxmlformats.org/officeDocument/2006/relationships/hyperlink" Target="https://www.seac-gf.fr/nos-produits/planchers-poutrelles/seacbois" TargetMode="External"/><Relationship Id="rId3" Type="http://schemas.microsoft.com/office/2007/relationships/hdphoto" Target="../media/hdphoto1.wdp"/><Relationship Id="rId7" Type="http://schemas.openxmlformats.org/officeDocument/2006/relationships/image" Target="../media/image14.png"/><Relationship Id="rId12" Type="http://schemas.openxmlformats.org/officeDocument/2006/relationships/hyperlink" Target="https://www.seac-gf.fr/nos-produits/planchers-poutrelles/plastivs" TargetMode="External"/><Relationship Id="rId17" Type="http://schemas.openxmlformats.org/officeDocument/2006/relationships/image" Target="../media/image18.png"/><Relationship Id="rId2" Type="http://schemas.openxmlformats.org/officeDocument/2006/relationships/image" Target="../media/image12.png"/><Relationship Id="rId16" Type="http://schemas.openxmlformats.org/officeDocument/2006/relationships/hyperlink" Target="https://www.seac-gf.fr/nos-produits/planchers-poutrelles/plancher-isolant" TargetMode="External"/><Relationship Id="rId20" Type="http://schemas.microsoft.com/office/2007/relationships/hdphoto" Target="../media/hdphoto3.wdp"/><Relationship Id="rId1" Type="http://schemas.openxmlformats.org/officeDocument/2006/relationships/hyperlink" Target="https://www.seac-gf.fr/nos-produits/structure-precontrainte/seacisol" TargetMode="External"/><Relationship Id="rId6" Type="http://schemas.openxmlformats.org/officeDocument/2006/relationships/image" Target="../media/image13.png"/><Relationship Id="rId11" Type="http://schemas.openxmlformats.org/officeDocument/2006/relationships/image" Target="../media/image10.png"/><Relationship Id="rId5" Type="http://schemas.openxmlformats.org/officeDocument/2006/relationships/hyperlink" Target="https://www.seac-gf.fr/nos-produits/structure-precontrainte/predal-seacoustic" TargetMode="External"/><Relationship Id="rId15" Type="http://schemas.openxmlformats.org/officeDocument/2006/relationships/image" Target="../media/image17.png"/><Relationship Id="rId10" Type="http://schemas.microsoft.com/office/2007/relationships/hdphoto" Target="../media/hdphoto2.wdp"/><Relationship Id="rId19" Type="http://schemas.openxmlformats.org/officeDocument/2006/relationships/image" Target="../media/image19.png"/><Relationship Id="rId4" Type="http://schemas.openxmlformats.org/officeDocument/2006/relationships/hyperlink" Target="#DIM!A1"/><Relationship Id="rId9" Type="http://schemas.openxmlformats.org/officeDocument/2006/relationships/image" Target="../media/image15.png"/><Relationship Id="rId14" Type="http://schemas.openxmlformats.org/officeDocument/2006/relationships/hyperlink" Target="https://www.seac-gf.fr/nos-produits/planchers-poutrelles/entrevous-bois-seac/ebsdalle-flottante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DIM!A1"/><Relationship Id="rId1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638175</xdr:colOff>
          <xdr:row>21</xdr:row>
          <xdr:rowOff>0</xdr:rowOff>
        </xdr:from>
        <xdr:to>
          <xdr:col>14</xdr:col>
          <xdr:colOff>95250</xdr:colOff>
          <xdr:row>22</xdr:row>
          <xdr:rowOff>85725</xdr:rowOff>
        </xdr:to>
        <xdr:sp macro="" textlink="">
          <xdr:nvSpPr>
            <xdr:cNvPr id="2184" name="Group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29</a:t>
              </a:r>
            </a:p>
          </xdr:txBody>
        </xdr:sp>
        <xdr:clientData/>
      </xdr:twoCellAnchor>
    </mc:Choice>
    <mc:Fallback/>
  </mc:AlternateContent>
  <xdr:twoCellAnchor editAs="oneCell">
    <xdr:from>
      <xdr:col>8</xdr:col>
      <xdr:colOff>34278</xdr:colOff>
      <xdr:row>9</xdr:row>
      <xdr:rowOff>86819</xdr:rowOff>
    </xdr:from>
    <xdr:to>
      <xdr:col>8</xdr:col>
      <xdr:colOff>758178</xdr:colOff>
      <xdr:row>13</xdr:row>
      <xdr:rowOff>127073</xdr:rowOff>
    </xdr:to>
    <xdr:pic>
      <xdr:nvPicPr>
        <xdr:cNvPr id="2444" name="Image 1">
          <a:extLst>
            <a:ext uri="{FF2B5EF4-FFF2-40B4-BE49-F238E27FC236}">
              <a16:creationId xmlns:a16="http://schemas.microsoft.com/office/drawing/2014/main" id="{9A660F02-1E66-FFD7-EA79-A0DA39760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726" y="1663371"/>
          <a:ext cx="723900" cy="578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112778</xdr:colOff>
      <xdr:row>9</xdr:row>
      <xdr:rowOff>64077</xdr:rowOff>
    </xdr:from>
    <xdr:to>
      <xdr:col>9</xdr:col>
      <xdr:colOff>823690</xdr:colOff>
      <xdr:row>13</xdr:row>
      <xdr:rowOff>150669</xdr:rowOff>
    </xdr:to>
    <xdr:pic>
      <xdr:nvPicPr>
        <xdr:cNvPr id="2446" name="Image 2">
          <a:extLst>
            <a:ext uri="{FF2B5EF4-FFF2-40B4-BE49-F238E27FC236}">
              <a16:creationId xmlns:a16="http://schemas.microsoft.com/office/drawing/2014/main" id="{9F20AFFE-076A-DF6D-DAC1-00D025094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623" y="1640629"/>
          <a:ext cx="710912" cy="625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638175</xdr:colOff>
          <xdr:row>21</xdr:row>
          <xdr:rowOff>0</xdr:rowOff>
        </xdr:from>
        <xdr:to>
          <xdr:col>12</xdr:col>
          <xdr:colOff>95250</xdr:colOff>
          <xdr:row>22</xdr:row>
          <xdr:rowOff>85725</xdr:rowOff>
        </xdr:to>
        <xdr:sp macro="" textlink="">
          <xdr:nvSpPr>
            <xdr:cNvPr id="2077" name="Group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29</a:t>
              </a:r>
            </a:p>
          </xdr:txBody>
        </xdr:sp>
        <xdr:clientData/>
      </xdr:twoCellAnchor>
    </mc:Choice>
    <mc:Fallback/>
  </mc:AlternateContent>
  <xdr:twoCellAnchor editAs="oneCell">
    <xdr:from>
      <xdr:col>7</xdr:col>
      <xdr:colOff>93160</xdr:colOff>
      <xdr:row>9</xdr:row>
      <xdr:rowOff>70837</xdr:rowOff>
    </xdr:from>
    <xdr:to>
      <xdr:col>7</xdr:col>
      <xdr:colOff>845635</xdr:colOff>
      <xdr:row>13</xdr:row>
      <xdr:rowOff>144310</xdr:rowOff>
    </xdr:to>
    <xdr:pic>
      <xdr:nvPicPr>
        <xdr:cNvPr id="2448" name="Image 1">
          <a:extLst>
            <a:ext uri="{FF2B5EF4-FFF2-40B4-BE49-F238E27FC236}">
              <a16:creationId xmlns:a16="http://schemas.microsoft.com/office/drawing/2014/main" id="{BC356867-6519-71F9-B518-76C41DF48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832" y="1647389"/>
          <a:ext cx="752475" cy="612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87456</xdr:colOff>
      <xdr:row>9</xdr:row>
      <xdr:rowOff>87397</xdr:rowOff>
    </xdr:from>
    <xdr:to>
      <xdr:col>11</xdr:col>
      <xdr:colOff>649432</xdr:colOff>
      <xdr:row>13</xdr:row>
      <xdr:rowOff>146701</xdr:rowOff>
    </xdr:to>
    <xdr:pic>
      <xdr:nvPicPr>
        <xdr:cNvPr id="2449" name="Image 2">
          <a:extLst>
            <a:ext uri="{FF2B5EF4-FFF2-40B4-BE49-F238E27FC236}">
              <a16:creationId xmlns:a16="http://schemas.microsoft.com/office/drawing/2014/main" id="{7F522B4F-9B23-44C1-60D7-20B2536CD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680" y="1663949"/>
          <a:ext cx="837873" cy="597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69359</xdr:colOff>
          <xdr:row>15</xdr:row>
          <xdr:rowOff>129895</xdr:rowOff>
        </xdr:from>
        <xdr:to>
          <xdr:col>19</xdr:col>
          <xdr:colOff>25198</xdr:colOff>
          <xdr:row>17</xdr:row>
          <xdr:rowOff>54557</xdr:rowOff>
        </xdr:to>
        <xdr:grpSp>
          <xdr:nvGrpSpPr>
            <xdr:cNvPr id="6" name="Groupe 5">
              <a:extLst>
                <a:ext uri="{FF2B5EF4-FFF2-40B4-BE49-F238E27FC236}">
                  <a16:creationId xmlns:a16="http://schemas.microsoft.com/office/drawing/2014/main" id="{BF23F473-FCA8-8B2E-E450-13EB3C0AD6BA}"/>
                </a:ext>
              </a:extLst>
            </xdr:cNvPr>
            <xdr:cNvGrpSpPr/>
          </xdr:nvGrpSpPr>
          <xdr:grpSpPr>
            <a:xfrm>
              <a:off x="12251834" y="2596870"/>
              <a:ext cx="1184564" cy="248512"/>
              <a:chOff x="9216812" y="3526818"/>
              <a:chExt cx="1415761" cy="329042"/>
            </a:xfrm>
          </xdr:grpSpPr>
          <xdr:sp macro="" textlink="">
            <xdr:nvSpPr>
              <xdr:cNvPr id="2107" name="Group Box 59" hidden="1">
                <a:extLst>
                  <a:ext uri="{63B3BB69-23CF-44E3-9099-C40C66FF867C}">
                    <a14:compatExt spid="_x0000_s2107"/>
                  </a:ext>
                  <a:ext uri="{FF2B5EF4-FFF2-40B4-BE49-F238E27FC236}">
                    <a16:creationId xmlns:a16="http://schemas.microsoft.com/office/drawing/2014/main" id="{00000000-0008-0000-0000-00003B080000}"/>
                  </a:ext>
                </a:extLst>
              </xdr:cNvPr>
              <xdr:cNvSpPr/>
            </xdr:nvSpPr>
            <xdr:spPr bwMode="auto">
              <a:xfrm>
                <a:off x="9216812" y="3526818"/>
                <a:ext cx="1415761" cy="32904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  <xdr:grpSp>
            <xdr:nvGrpSpPr>
              <xdr:cNvPr id="2451" name="Groupe 10">
                <a:extLst>
                  <a:ext uri="{FF2B5EF4-FFF2-40B4-BE49-F238E27FC236}">
                    <a16:creationId xmlns:a16="http://schemas.microsoft.com/office/drawing/2014/main" id="{D8E0A884-F65F-D50A-2CDA-6C52D1BA1CE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388448" y="3593580"/>
                <a:ext cx="1130010" cy="221649"/>
                <a:chOff x="9387404" y="3575371"/>
                <a:chExt cx="1136760" cy="224454"/>
              </a:xfrm>
            </xdr:grpSpPr>
            <xdr:sp macro="" textlink="">
              <xdr:nvSpPr>
                <xdr:cNvPr id="2396" name="Option Button 348" hidden="1">
                  <a:extLst>
                    <a:ext uri="{63B3BB69-23CF-44E3-9099-C40C66FF867C}">
                      <a14:compatExt spid="_x0000_s2396"/>
                    </a:ext>
                    <a:ext uri="{FF2B5EF4-FFF2-40B4-BE49-F238E27FC236}">
                      <a16:creationId xmlns:a16="http://schemas.microsoft.com/office/drawing/2014/main" id="{00000000-0008-0000-0000-00005C090000}"/>
                    </a:ext>
                  </a:extLst>
                </xdr:cNvPr>
                <xdr:cNvSpPr/>
              </xdr:nvSpPr>
              <xdr:spPr bwMode="auto">
                <a:xfrm>
                  <a:off x="9387404" y="3580741"/>
                  <a:ext cx="304801" cy="21908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sp macro="" textlink="">
              <xdr:nvSpPr>
                <xdr:cNvPr id="2398" name="Option Button 350" hidden="1">
                  <a:extLst>
                    <a:ext uri="{63B3BB69-23CF-44E3-9099-C40C66FF867C}">
                      <a14:compatExt spid="_x0000_s2398"/>
                    </a:ext>
                    <a:ext uri="{FF2B5EF4-FFF2-40B4-BE49-F238E27FC236}">
                      <a16:creationId xmlns:a16="http://schemas.microsoft.com/office/drawing/2014/main" id="{00000000-0008-0000-0000-00005E090000}"/>
                    </a:ext>
                  </a:extLst>
                </xdr:cNvPr>
                <xdr:cNvSpPr/>
              </xdr:nvSpPr>
              <xdr:spPr bwMode="auto">
                <a:xfrm>
                  <a:off x="10219362" y="3575371"/>
                  <a:ext cx="304802" cy="21328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</xdr:grp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229832</xdr:colOff>
          <xdr:row>26</xdr:row>
          <xdr:rowOff>17989</xdr:rowOff>
        </xdr:from>
        <xdr:to>
          <xdr:col>11</xdr:col>
          <xdr:colOff>520964</xdr:colOff>
          <xdr:row>35</xdr:row>
          <xdr:rowOff>202817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4930CDA7-0FB7-9822-0C72-4CD504ACBE1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" spid="_x0000_s1349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4918249" y="4579406"/>
              <a:ext cx="3296798" cy="2036911"/>
            </a:xfrm>
            <a:prstGeom prst="rect">
              <a:avLst/>
            </a:prstGeom>
            <a:noFill/>
            <a:effectLst>
              <a:outerShdw blurRad="889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685800</xdr:colOff>
          <xdr:row>7</xdr:row>
          <xdr:rowOff>142875</xdr:rowOff>
        </xdr:from>
        <xdr:to>
          <xdr:col>12</xdr:col>
          <xdr:colOff>142875</xdr:colOff>
          <xdr:row>24</xdr:row>
          <xdr:rowOff>95250</xdr:rowOff>
        </xdr:to>
        <xdr:sp macro="" textlink="">
          <xdr:nvSpPr>
            <xdr:cNvPr id="2279" name="Group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304800</xdr:colOff>
          <xdr:row>13</xdr:row>
          <xdr:rowOff>161925</xdr:rowOff>
        </xdr:from>
        <xdr:to>
          <xdr:col>7</xdr:col>
          <xdr:colOff>609600</xdr:colOff>
          <xdr:row>14</xdr:row>
          <xdr:rowOff>152400</xdr:rowOff>
        </xdr:to>
        <xdr:sp macro="" textlink="">
          <xdr:nvSpPr>
            <xdr:cNvPr id="2275" name="Option Button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257175</xdr:colOff>
          <xdr:row>13</xdr:row>
          <xdr:rowOff>152400</xdr:rowOff>
        </xdr:from>
        <xdr:to>
          <xdr:col>8</xdr:col>
          <xdr:colOff>561975</xdr:colOff>
          <xdr:row>14</xdr:row>
          <xdr:rowOff>152400</xdr:rowOff>
        </xdr:to>
        <xdr:sp macro="" textlink="">
          <xdr:nvSpPr>
            <xdr:cNvPr id="2276" name="Option Button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371475</xdr:colOff>
          <xdr:row>13</xdr:row>
          <xdr:rowOff>152400</xdr:rowOff>
        </xdr:from>
        <xdr:to>
          <xdr:col>9</xdr:col>
          <xdr:colOff>676275</xdr:colOff>
          <xdr:row>14</xdr:row>
          <xdr:rowOff>152400</xdr:rowOff>
        </xdr:to>
        <xdr:sp macro="" textlink="">
          <xdr:nvSpPr>
            <xdr:cNvPr id="2277" name="Option Button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152400</xdr:colOff>
          <xdr:row>13</xdr:row>
          <xdr:rowOff>152400</xdr:rowOff>
        </xdr:from>
        <xdr:to>
          <xdr:col>11</xdr:col>
          <xdr:colOff>447675</xdr:colOff>
          <xdr:row>14</xdr:row>
          <xdr:rowOff>152400</xdr:rowOff>
        </xdr:to>
        <xdr:sp macro="" textlink="">
          <xdr:nvSpPr>
            <xdr:cNvPr id="2278" name="Option Button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238125</xdr:colOff>
          <xdr:row>22</xdr:row>
          <xdr:rowOff>57150</xdr:rowOff>
        </xdr:from>
        <xdr:to>
          <xdr:col>7</xdr:col>
          <xdr:colOff>542925</xdr:colOff>
          <xdr:row>23</xdr:row>
          <xdr:rowOff>133350</xdr:rowOff>
        </xdr:to>
        <xdr:sp macro="" textlink="">
          <xdr:nvSpPr>
            <xdr:cNvPr id="2405" name="Option Button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0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373673</xdr:colOff>
          <xdr:row>22</xdr:row>
          <xdr:rowOff>30774</xdr:rowOff>
        </xdr:from>
        <xdr:to>
          <xdr:col>8</xdr:col>
          <xdr:colOff>668948</xdr:colOff>
          <xdr:row>23</xdr:row>
          <xdr:rowOff>97449</xdr:rowOff>
        </xdr:to>
        <xdr:sp macro="" textlink="">
          <xdr:nvSpPr>
            <xdr:cNvPr id="2406" name="Option Button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0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52916</xdr:colOff>
      <xdr:row>19</xdr:row>
      <xdr:rowOff>63789</xdr:rowOff>
    </xdr:from>
    <xdr:to>
      <xdr:col>8</xdr:col>
      <xdr:colOff>799617</xdr:colOff>
      <xdr:row>22</xdr:row>
      <xdr:rowOff>34126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CB54A32-0D59-B22A-66B7-284995AC7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25583" y="3196456"/>
          <a:ext cx="746701" cy="58417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 editAs="oneCell">
    <xdr:from>
      <xdr:col>7</xdr:col>
      <xdr:colOff>48394</xdr:colOff>
      <xdr:row>19</xdr:row>
      <xdr:rowOff>74179</xdr:rowOff>
    </xdr:from>
    <xdr:to>
      <xdr:col>7</xdr:col>
      <xdr:colOff>772294</xdr:colOff>
      <xdr:row>22</xdr:row>
      <xdr:rowOff>45003</xdr:rowOff>
    </xdr:to>
    <xdr:pic>
      <xdr:nvPicPr>
        <xdr:cNvPr id="9" name="Image 1">
          <a:extLst>
            <a:ext uri="{FF2B5EF4-FFF2-40B4-BE49-F238E27FC236}">
              <a16:creationId xmlns:a16="http://schemas.microsoft.com/office/drawing/2014/main" id="{92FF30E1-4C51-4B22-90C8-4E7506472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6811" y="3206846"/>
          <a:ext cx="723900" cy="584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173817</xdr:colOff>
      <xdr:row>14</xdr:row>
      <xdr:rowOff>87262</xdr:rowOff>
    </xdr:from>
    <xdr:ext cx="966611" cy="26456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67DF654E-3D4A-022E-8EA3-B2EA669E2797}"/>
            </a:ext>
          </a:extLst>
        </xdr:cNvPr>
        <xdr:cNvSpPr txBox="1"/>
      </xdr:nvSpPr>
      <xdr:spPr>
        <a:xfrm>
          <a:off x="9968392" y="3834361"/>
          <a:ext cx="96661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AL                1c</a:t>
          </a:r>
        </a:p>
      </xdr:txBody>
    </xdr:sp>
    <xdr:clientData/>
  </xdr:oneCellAnchor>
  <xdr:twoCellAnchor>
    <xdr:from>
      <xdr:col>17</xdr:col>
      <xdr:colOff>46255</xdr:colOff>
      <xdr:row>19</xdr:row>
      <xdr:rowOff>72542</xdr:rowOff>
    </xdr:from>
    <xdr:to>
      <xdr:col>19</xdr:col>
      <xdr:colOff>104209</xdr:colOff>
      <xdr:row>21</xdr:row>
      <xdr:rowOff>88872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2E350972-639D-2B4C-5E5B-2AE137D65F42}"/>
            </a:ext>
          </a:extLst>
        </xdr:cNvPr>
        <xdr:cNvGrpSpPr/>
      </xdr:nvGrpSpPr>
      <xdr:grpSpPr>
        <a:xfrm>
          <a:off x="12228730" y="3244367"/>
          <a:ext cx="1286679" cy="425905"/>
          <a:chOff x="9730256" y="3785696"/>
          <a:chExt cx="1075053" cy="426464"/>
        </a:xfrm>
      </xdr:grpSpPr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E252F6DA-B59D-437C-BF08-1DD5142C3059}"/>
              </a:ext>
            </a:extLst>
          </xdr:cNvPr>
          <xdr:cNvSpPr txBox="1"/>
        </xdr:nvSpPr>
        <xdr:spPr>
          <a:xfrm>
            <a:off x="9730256" y="3785696"/>
            <a:ext cx="1075053" cy="2681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100"/>
              <a:t>simple        jumelée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grpSp>
            <xdr:nvGrpSpPr>
              <xdr:cNvPr id="5" name="Groupe 4">
                <a:extLst>
                  <a:ext uri="{FF2B5EF4-FFF2-40B4-BE49-F238E27FC236}">
                    <a16:creationId xmlns:a16="http://schemas.microsoft.com/office/drawing/2014/main" id="{6B666FC7-FEDC-F315-96F6-41DFD8806B7F}"/>
                  </a:ext>
                </a:extLst>
              </xdr:cNvPr>
              <xdr:cNvGrpSpPr/>
            </xdr:nvGrpSpPr>
            <xdr:grpSpPr>
              <a:xfrm>
                <a:off x="9897527" y="3947578"/>
                <a:ext cx="902753" cy="264582"/>
                <a:chOff x="9897527" y="3947578"/>
                <a:chExt cx="902753" cy="264582"/>
              </a:xfrm>
            </xdr:grpSpPr>
            <xdr:sp macro="" textlink="">
              <xdr:nvSpPr>
                <xdr:cNvPr id="2575" name="Option Button 527" descr="NON" hidden="1">
                  <a:extLst>
                    <a:ext uri="{63B3BB69-23CF-44E3-9099-C40C66FF867C}">
                      <a14:compatExt spid="_x0000_s2575"/>
                    </a:ext>
                    <a:ext uri="{FF2B5EF4-FFF2-40B4-BE49-F238E27FC236}">
                      <a16:creationId xmlns:a16="http://schemas.microsoft.com/office/drawing/2014/main" id="{00000000-0008-0000-0000-00000F0A0000}"/>
                    </a:ext>
                  </a:extLst>
                </xdr:cNvPr>
                <xdr:cNvSpPr/>
              </xdr:nvSpPr>
              <xdr:spPr bwMode="auto">
                <a:xfrm>
                  <a:off x="9897527" y="3948638"/>
                  <a:ext cx="325961" cy="263522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sp macro="" textlink="">
              <xdr:nvSpPr>
                <xdr:cNvPr id="2582" name="Option Button 534" descr="NON" hidden="1">
                  <a:extLst>
                    <a:ext uri="{63B3BB69-23CF-44E3-9099-C40C66FF867C}">
                      <a14:compatExt spid="_x0000_s2582"/>
                    </a:ext>
                    <a:ext uri="{FF2B5EF4-FFF2-40B4-BE49-F238E27FC236}">
                      <a16:creationId xmlns:a16="http://schemas.microsoft.com/office/drawing/2014/main" id="{00000000-0008-0000-0000-0000160A0000}"/>
                    </a:ext>
                  </a:extLst>
                </xdr:cNvPr>
                <xdr:cNvSpPr/>
              </xdr:nvSpPr>
              <xdr:spPr bwMode="auto">
                <a:xfrm>
                  <a:off x="10476430" y="3947578"/>
                  <a:ext cx="323850" cy="25822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</xdr:grpSp>
        </mc:Choice>
        <mc:Fallback/>
      </mc:AlternateContent>
    </xdr:grpSp>
    <xdr:clientData/>
  </xdr:twoCellAnchor>
  <xdr:oneCellAnchor>
    <xdr:from>
      <xdr:col>8</xdr:col>
      <xdr:colOff>818898</xdr:colOff>
      <xdr:row>1</xdr:row>
      <xdr:rowOff>115265</xdr:rowOff>
    </xdr:from>
    <xdr:ext cx="6219844" cy="468013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F61294F-BE53-C632-A05A-C1BC0A4915F9}"/>
            </a:ext>
          </a:extLst>
        </xdr:cNvPr>
        <xdr:cNvSpPr/>
      </xdr:nvSpPr>
      <xdr:spPr>
        <a:xfrm>
          <a:off x="6491565" y="284598"/>
          <a:ext cx="6219844" cy="468013"/>
        </a:xfrm>
        <a:prstGeom prst="rect">
          <a:avLst/>
        </a:prstGeom>
        <a:solidFill>
          <a:srgbClr val="00B050"/>
        </a:solidFill>
        <a:ln w="38100" cmpd="dbl">
          <a:solidFill>
            <a:schemeClr val="tx1"/>
          </a:solidFill>
        </a:ln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PREDIMENSIONNEMENT</a:t>
          </a:r>
          <a:r>
            <a:rPr lang="fr-FR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</a:t>
          </a:r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DES</a:t>
          </a:r>
          <a:r>
            <a:rPr lang="fr-FR" sz="2400" b="0" cap="none" spc="0" baseline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</a:t>
          </a:r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PLANCHERS</a:t>
          </a:r>
          <a:r>
            <a:rPr lang="fr-FR" sz="2400" b="0" cap="none" spc="0" baseline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SEAC</a:t>
          </a:r>
          <a:endParaRPr lang="fr-FR" sz="2400" b="0" cap="none" spc="0">
            <a:ln w="0"/>
            <a:solidFill>
              <a:srgbClr val="FFFFFF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</xdr:txBody>
    </xdr:sp>
    <xdr:clientData/>
  </xdr:oneCellAnchor>
  <xdr:twoCellAnchor editAs="oneCell">
    <xdr:from>
      <xdr:col>6</xdr:col>
      <xdr:colOff>188703</xdr:colOff>
      <xdr:row>1</xdr:row>
      <xdr:rowOff>98844</xdr:rowOff>
    </xdr:from>
    <xdr:to>
      <xdr:col>7</xdr:col>
      <xdr:colOff>918425</xdr:colOff>
      <xdr:row>4</xdr:row>
      <xdr:rowOff>131250</xdr:rowOff>
    </xdr:to>
    <xdr:pic>
      <xdr:nvPicPr>
        <xdr:cNvPr id="12" name="Image 2">
          <a:extLst>
            <a:ext uri="{FF2B5EF4-FFF2-40B4-BE49-F238E27FC236}">
              <a16:creationId xmlns:a16="http://schemas.microsoft.com/office/drawing/2014/main" id="{468BAA9F-5EF9-4FE8-8254-75D4F70AF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297" y="1725283"/>
          <a:ext cx="1493520" cy="526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19</xdr:col>
      <xdr:colOff>714375</xdr:colOff>
      <xdr:row>2</xdr:row>
      <xdr:rowOff>19050</xdr:rowOff>
    </xdr:from>
    <xdr:ext cx="572786" cy="342786"/>
    <xdr:sp macro="" textlink="">
      <xdr:nvSpPr>
        <xdr:cNvPr id="8" name="ZoneTexte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53C3F26-A260-4581-84AE-3A10F057D88E}"/>
            </a:ext>
          </a:extLst>
        </xdr:cNvPr>
        <xdr:cNvSpPr txBox="1"/>
      </xdr:nvSpPr>
      <xdr:spPr>
        <a:xfrm>
          <a:off x="11725275" y="1819275"/>
          <a:ext cx="57278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Aide</a:t>
          </a:r>
          <a:endParaRPr lang="fr-FR" sz="1600" b="1"/>
        </a:p>
      </xdr:txBody>
    </xdr:sp>
    <xdr:clientData/>
  </xdr:oneCellAnchor>
  <xdr:oneCellAnchor>
    <xdr:from>
      <xdr:col>7</xdr:col>
      <xdr:colOff>642937</xdr:colOff>
      <xdr:row>37</xdr:row>
      <xdr:rowOff>59530</xdr:rowOff>
    </xdr:from>
    <xdr:ext cx="2333625" cy="369095"/>
    <xdr:sp macro="" textlink="">
      <xdr:nvSpPr>
        <xdr:cNvPr id="16" name="ZoneTexte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653AD02-27AF-4EE1-B268-916931A6DEA8}"/>
            </a:ext>
          </a:extLst>
        </xdr:cNvPr>
        <xdr:cNvSpPr txBox="1"/>
      </xdr:nvSpPr>
      <xdr:spPr>
        <a:xfrm>
          <a:off x="1524000" y="6965155"/>
          <a:ext cx="2333625" cy="36909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600" b="1" baseline="0"/>
            <a:t>Descriptifs, info produits</a:t>
          </a:r>
          <a:endParaRPr lang="fr-FR" sz="1600" b="1"/>
        </a:p>
      </xdr:txBody>
    </xdr:sp>
    <xdr:clientData/>
  </xdr:oneCellAnchor>
  <xdr:oneCellAnchor>
    <xdr:from>
      <xdr:col>7</xdr:col>
      <xdr:colOff>193409</xdr:colOff>
      <xdr:row>40</xdr:row>
      <xdr:rowOff>152398</xdr:rowOff>
    </xdr:from>
    <xdr:ext cx="3145632" cy="621508"/>
    <xdr:sp macro="" textlink="">
      <xdr:nvSpPr>
        <xdr:cNvPr id="14" name="ZoneText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8D5AB26-F919-41C5-A038-9B76D5020981}"/>
            </a:ext>
          </a:extLst>
        </xdr:cNvPr>
        <xdr:cNvSpPr txBox="1"/>
      </xdr:nvSpPr>
      <xdr:spPr>
        <a:xfrm>
          <a:off x="4881826" y="7444315"/>
          <a:ext cx="3145632" cy="62150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fr-FR" sz="1600" b="1" baseline="0"/>
            <a:t>demande de dimensionnement    </a:t>
          </a:r>
          <a:r>
            <a:rPr lang="fr-FR" sz="1600" b="1" baseline="0">
              <a:solidFill>
                <a:schemeClr val="accent3">
                  <a:lumMod val="60000"/>
                  <a:lumOff val="40000"/>
                </a:schemeClr>
              </a:solidFill>
            </a:rPr>
            <a:t>.</a:t>
          </a:r>
          <a:r>
            <a:rPr lang="fr-FR" sz="1600" b="1" baseline="0"/>
            <a:t>bet SEAC</a:t>
          </a:r>
          <a:endParaRPr lang="fr-FR" sz="1600" b="1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613996</xdr:colOff>
          <xdr:row>22</xdr:row>
          <xdr:rowOff>2198</xdr:rowOff>
        </xdr:from>
        <xdr:to>
          <xdr:col>10</xdr:col>
          <xdr:colOff>15387</xdr:colOff>
          <xdr:row>23</xdr:row>
          <xdr:rowOff>68873</xdr:rowOff>
        </xdr:to>
        <xdr:sp macro="" textlink="">
          <xdr:nvSpPr>
            <xdr:cNvPr id="13381" name="Option Button 1093" hidden="1">
              <a:extLst>
                <a:ext uri="{63B3BB69-23CF-44E3-9099-C40C66FF867C}">
                  <a14:compatExt spid="_x0000_s13381"/>
                </a:ext>
                <a:ext uri="{FF2B5EF4-FFF2-40B4-BE49-F238E27FC236}">
                  <a16:creationId xmlns:a16="http://schemas.microsoft.com/office/drawing/2014/main" id="{00000000-0008-0000-0000-00004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319506</xdr:colOff>
      <xdr:row>19</xdr:row>
      <xdr:rowOff>98505</xdr:rowOff>
    </xdr:from>
    <xdr:to>
      <xdr:col>10</xdr:col>
      <xdr:colOff>168375</xdr:colOff>
      <xdr:row>22</xdr:row>
      <xdr:rowOff>45589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466992E-7F9A-CD08-F190-34EDAD50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840468" y="3271063"/>
          <a:ext cx="742753" cy="55521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29</xdr:row>
          <xdr:rowOff>47625</xdr:rowOff>
        </xdr:from>
        <xdr:to>
          <xdr:col>19</xdr:col>
          <xdr:colOff>657225</xdr:colOff>
          <xdr:row>30</xdr:row>
          <xdr:rowOff>9525</xdr:rowOff>
        </xdr:to>
        <xdr:sp macro="" textlink="">
          <xdr:nvSpPr>
            <xdr:cNvPr id="13469" name="Check Box 1181" hidden="1">
              <a:extLst>
                <a:ext uri="{63B3BB69-23CF-44E3-9099-C40C66FF867C}">
                  <a14:compatExt spid="_x0000_s13469"/>
                </a:ext>
                <a:ext uri="{FF2B5EF4-FFF2-40B4-BE49-F238E27FC236}">
                  <a16:creationId xmlns:a16="http://schemas.microsoft.com/office/drawing/2014/main" id="{00000000-0008-0000-0000-00009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666750</xdr:colOff>
      <xdr:row>29</xdr:row>
      <xdr:rowOff>121711</xdr:rowOff>
    </xdr:from>
    <xdr:to>
      <xdr:col>20</xdr:col>
      <xdr:colOff>105833</xdr:colOff>
      <xdr:row>34</xdr:row>
      <xdr:rowOff>42336</xdr:rowOff>
    </xdr:to>
    <xdr:sp macro="" textlink="">
      <xdr:nvSpPr>
        <xdr:cNvPr id="18" name="Flèche : virage 17">
          <a:extLst>
            <a:ext uri="{FF2B5EF4-FFF2-40B4-BE49-F238E27FC236}">
              <a16:creationId xmlns:a16="http://schemas.microsoft.com/office/drawing/2014/main" id="{710700A5-5F12-E316-7F52-BBEBBE441BC2}"/>
            </a:ext>
          </a:extLst>
        </xdr:cNvPr>
        <xdr:cNvSpPr/>
      </xdr:nvSpPr>
      <xdr:spPr bwMode="auto">
        <a:xfrm rot="5400000">
          <a:off x="13713354" y="5701774"/>
          <a:ext cx="968375" cy="201083"/>
        </a:xfrm>
        <a:prstGeom prst="ben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755650</xdr:colOff>
      <xdr:row>29</xdr:row>
      <xdr:rowOff>136529</xdr:rowOff>
    </xdr:from>
    <xdr:to>
      <xdr:col>15</xdr:col>
      <xdr:colOff>201084</xdr:colOff>
      <xdr:row>34</xdr:row>
      <xdr:rowOff>57154</xdr:rowOff>
    </xdr:to>
    <xdr:sp macro="" textlink="">
      <xdr:nvSpPr>
        <xdr:cNvPr id="19" name="Flèche : virage 18">
          <a:extLst>
            <a:ext uri="{FF2B5EF4-FFF2-40B4-BE49-F238E27FC236}">
              <a16:creationId xmlns:a16="http://schemas.microsoft.com/office/drawing/2014/main" id="{409C0484-8DD1-46D4-A744-08C761A51B79}"/>
            </a:ext>
          </a:extLst>
        </xdr:cNvPr>
        <xdr:cNvSpPr/>
      </xdr:nvSpPr>
      <xdr:spPr bwMode="auto">
        <a:xfrm rot="5400000" flipV="1">
          <a:off x="10281179" y="5713417"/>
          <a:ext cx="968375" cy="207434"/>
        </a:xfrm>
        <a:prstGeom prst="ben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239976</xdr:colOff>
      <xdr:row>41</xdr:row>
      <xdr:rowOff>19048</xdr:rowOff>
    </xdr:from>
    <xdr:ext cx="3145632" cy="621508"/>
    <xdr:sp macro="" textlink="">
      <xdr:nvSpPr>
        <xdr:cNvPr id="20" name="ZoneTexte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08ABA9-F02D-4DFE-A4AC-565BBC76F17D}"/>
            </a:ext>
          </a:extLst>
        </xdr:cNvPr>
        <xdr:cNvSpPr txBox="1"/>
      </xdr:nvSpPr>
      <xdr:spPr>
        <a:xfrm>
          <a:off x="10907976" y="7469715"/>
          <a:ext cx="3145632" cy="62150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fr-FR" sz="1600" b="1" baseline="0"/>
            <a:t>détails calculs co²</a:t>
          </a:r>
          <a:endParaRPr lang="fr-FR" sz="1600" b="1"/>
        </a:p>
      </xdr:txBody>
    </xdr:sp>
    <xdr:clientData/>
  </xdr:oneCellAnchor>
  <xdr:twoCellAnchor editAs="oneCell">
    <xdr:from>
      <xdr:col>18</xdr:col>
      <xdr:colOff>964860</xdr:colOff>
      <xdr:row>42</xdr:row>
      <xdr:rowOff>97300</xdr:rowOff>
    </xdr:from>
    <xdr:to>
      <xdr:col>19</xdr:col>
      <xdr:colOff>213043</xdr:colOff>
      <xdr:row>44</xdr:row>
      <xdr:rowOff>35422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FD81F366-97E7-4852-9F80-CD02EA49B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54962">
          <a:off x="13389693" y="7706717"/>
          <a:ext cx="253600" cy="255622"/>
        </a:xfrm>
        <a:prstGeom prst="rect">
          <a:avLst/>
        </a:prstGeom>
      </xdr:spPr>
    </xdr:pic>
    <xdr:clientData/>
  </xdr:twoCellAnchor>
  <xdr:twoCellAnchor editAs="oneCell">
    <xdr:from>
      <xdr:col>9</xdr:col>
      <xdr:colOff>670117</xdr:colOff>
      <xdr:row>42</xdr:row>
      <xdr:rowOff>101836</xdr:rowOff>
    </xdr:from>
    <xdr:to>
      <xdr:col>10</xdr:col>
      <xdr:colOff>38893</xdr:colOff>
      <xdr:row>44</xdr:row>
      <xdr:rowOff>54836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24F4E37D-F070-465D-9CA7-DA01B566D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235495">
          <a:off x="7189450" y="7711253"/>
          <a:ext cx="268360" cy="270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438150</xdr:colOff>
          <xdr:row>22</xdr:row>
          <xdr:rowOff>9525</xdr:rowOff>
        </xdr:from>
        <xdr:to>
          <xdr:col>10</xdr:col>
          <xdr:colOff>733425</xdr:colOff>
          <xdr:row>23</xdr:row>
          <xdr:rowOff>76200</xdr:rowOff>
        </xdr:to>
        <xdr:sp macro="" textlink="">
          <xdr:nvSpPr>
            <xdr:cNvPr id="13498" name="Option Button 1210" hidden="1">
              <a:extLst>
                <a:ext uri="{63B3BB69-23CF-44E3-9099-C40C66FF867C}">
                  <a14:compatExt spid="_x0000_s13498"/>
                </a:ext>
                <a:ext uri="{FF2B5EF4-FFF2-40B4-BE49-F238E27FC236}">
                  <a16:creationId xmlns:a16="http://schemas.microsoft.com/office/drawing/2014/main" id="{FE23B5B6-6D7A-41DA-B7C8-699EF4AF6C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35717</xdr:colOff>
      <xdr:row>9</xdr:row>
      <xdr:rowOff>47624</xdr:rowOff>
    </xdr:from>
    <xdr:to>
      <xdr:col>2</xdr:col>
      <xdr:colOff>2006202</xdr:colOff>
      <xdr:row>9</xdr:row>
      <xdr:rowOff>1240917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6A0FA44-287C-06C8-1C06-EB3BF09F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2845592" y="7030640"/>
          <a:ext cx="1970485" cy="1193293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</xdr:colOff>
      <xdr:row>8</xdr:row>
      <xdr:rowOff>41673</xdr:rowOff>
    </xdr:from>
    <xdr:to>
      <xdr:col>2</xdr:col>
      <xdr:colOff>2024062</xdr:colOff>
      <xdr:row>8</xdr:row>
      <xdr:rowOff>1244203</xdr:rowOff>
    </xdr:to>
    <xdr:pic>
      <xdr:nvPicPr>
        <xdr:cNvPr id="8" name="Image 7" descr="Montage d'un plancher hourdis EBS (Entrevous Bois SEAC Biosourcé)">
          <a:extLst>
            <a:ext uri="{FF2B5EF4-FFF2-40B4-BE49-F238E27FC236}">
              <a16:creationId xmlns:a16="http://schemas.microsoft.com/office/drawing/2014/main" id="{06073EBA-A9D3-4FB6-851C-9CE369633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3453" y="5756673"/>
          <a:ext cx="1970484" cy="1202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35719</xdr:colOff>
      <xdr:row>7</xdr:row>
      <xdr:rowOff>29767</xdr:rowOff>
    </xdr:from>
    <xdr:to>
      <xdr:col>2</xdr:col>
      <xdr:colOff>2006203</xdr:colOff>
      <xdr:row>7</xdr:row>
      <xdr:rowOff>1250157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EC425F5-32BB-1EEE-EB91-D0E45CE08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45594" y="4476751"/>
          <a:ext cx="1970484" cy="122039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23813</xdr:colOff>
      <xdr:row>4</xdr:row>
      <xdr:rowOff>29765</xdr:rowOff>
    </xdr:from>
    <xdr:to>
      <xdr:col>2</xdr:col>
      <xdr:colOff>2033869</xdr:colOff>
      <xdr:row>4</xdr:row>
      <xdr:rowOff>1249135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241D88F-A8CC-AC66-F37B-2C6DD39D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3688" y="672703"/>
          <a:ext cx="2010056" cy="12193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2010056</xdr:colOff>
      <xdr:row>5</xdr:row>
      <xdr:rowOff>1219370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C89F7DF-B24D-D6B3-72FC-EE13FC2BA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9875" y="1910953"/>
          <a:ext cx="2010056" cy="12193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2010056</xdr:colOff>
      <xdr:row>6</xdr:row>
      <xdr:rowOff>1219370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60B45AD-0959-7CC7-1D31-319C3A74A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09875" y="3178969"/>
          <a:ext cx="2010056" cy="121937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10</xdr:row>
      <xdr:rowOff>29766</xdr:rowOff>
    </xdr:from>
    <xdr:to>
      <xdr:col>2</xdr:col>
      <xdr:colOff>1946672</xdr:colOff>
      <xdr:row>10</xdr:row>
      <xdr:rowOff>1256073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A0D3C10-9EA6-AA30-93E2-A2127746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01" y="8280797"/>
          <a:ext cx="1899046" cy="12263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13</xdr:row>
      <xdr:rowOff>159855</xdr:rowOff>
    </xdr:from>
    <xdr:to>
      <xdr:col>4</xdr:col>
      <xdr:colOff>6211</xdr:colOff>
      <xdr:row>15</xdr:row>
      <xdr:rowOff>155002</xdr:rowOff>
    </xdr:to>
    <xdr:sp macro="" textlink="">
      <xdr:nvSpPr>
        <xdr:cNvPr id="2" name="Rectangle : coins arrondis 1">
          <a:extLst>
            <a:ext uri="{FF2B5EF4-FFF2-40B4-BE49-F238E27FC236}">
              <a16:creationId xmlns:a16="http://schemas.microsoft.com/office/drawing/2014/main" id="{577D62BA-A162-426A-8DAA-4B50F0DD8766}"/>
            </a:ext>
          </a:extLst>
        </xdr:cNvPr>
        <xdr:cNvSpPr/>
      </xdr:nvSpPr>
      <xdr:spPr>
        <a:xfrm>
          <a:off x="1743075" y="2607780"/>
          <a:ext cx="2225536" cy="366622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8</xdr:col>
      <xdr:colOff>6627</xdr:colOff>
      <xdr:row>13</xdr:row>
      <xdr:rowOff>149500</xdr:rowOff>
    </xdr:from>
    <xdr:to>
      <xdr:col>10</xdr:col>
      <xdr:colOff>0</xdr:colOff>
      <xdr:row>15</xdr:row>
      <xdr:rowOff>155789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82203B2F-B249-4DF6-8287-1804BC9B71A4}"/>
            </a:ext>
          </a:extLst>
        </xdr:cNvPr>
        <xdr:cNvSpPr/>
      </xdr:nvSpPr>
      <xdr:spPr>
        <a:xfrm>
          <a:off x="5969277" y="2597425"/>
          <a:ext cx="974448" cy="377764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978177</xdr:colOff>
      <xdr:row>13</xdr:row>
      <xdr:rowOff>156955</xdr:rowOff>
    </xdr:from>
    <xdr:to>
      <xdr:col>11</xdr:col>
      <xdr:colOff>1232866</xdr:colOff>
      <xdr:row>15</xdr:row>
      <xdr:rowOff>153718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90793834-1CAD-4074-A897-82DF8CBF310F}"/>
            </a:ext>
          </a:extLst>
        </xdr:cNvPr>
        <xdr:cNvSpPr/>
      </xdr:nvSpPr>
      <xdr:spPr>
        <a:xfrm>
          <a:off x="6940827" y="2604880"/>
          <a:ext cx="1235764" cy="368238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6626</xdr:colOff>
      <xdr:row>13</xdr:row>
      <xdr:rowOff>156956</xdr:rowOff>
    </xdr:from>
    <xdr:to>
      <xdr:col>13</xdr:col>
      <xdr:colOff>496</xdr:colOff>
      <xdr:row>15</xdr:row>
      <xdr:rowOff>153719</xdr:rowOff>
    </xdr:to>
    <xdr:sp macro="" textlink="">
      <xdr:nvSpPr>
        <xdr:cNvPr id="6" name="Rectangle : coins arrondis 5">
          <a:extLst>
            <a:ext uri="{FF2B5EF4-FFF2-40B4-BE49-F238E27FC236}">
              <a16:creationId xmlns:a16="http://schemas.microsoft.com/office/drawing/2014/main" id="{794BDB25-B914-496C-A152-580791018FA4}"/>
            </a:ext>
          </a:extLst>
        </xdr:cNvPr>
        <xdr:cNvSpPr/>
      </xdr:nvSpPr>
      <xdr:spPr>
        <a:xfrm>
          <a:off x="8198126" y="2604881"/>
          <a:ext cx="708245" cy="368238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ep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16150</xdr:colOff>
      <xdr:row>22</xdr:row>
      <xdr:rowOff>166482</xdr:rowOff>
    </xdr:from>
    <xdr:to>
      <xdr:col>4</xdr:col>
      <xdr:colOff>352425</xdr:colOff>
      <xdr:row>24</xdr:row>
      <xdr:rowOff>155002</xdr:rowOff>
    </xdr:to>
    <xdr:sp macro="" textlink="">
      <xdr:nvSpPr>
        <xdr:cNvPr id="8" name="Rectangle : coins arrondis 7">
          <a:extLst>
            <a:ext uri="{FF2B5EF4-FFF2-40B4-BE49-F238E27FC236}">
              <a16:creationId xmlns:a16="http://schemas.microsoft.com/office/drawing/2014/main" id="{28DC4F9C-CBB1-4CF8-99C6-1A04EF8FD11F}"/>
            </a:ext>
          </a:extLst>
        </xdr:cNvPr>
        <xdr:cNvSpPr/>
      </xdr:nvSpPr>
      <xdr:spPr>
        <a:xfrm>
          <a:off x="1749700" y="4433682"/>
          <a:ext cx="2565125" cy="369520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POUTRELLE</a:t>
          </a:r>
        </a:p>
      </xdr:txBody>
    </xdr:sp>
    <xdr:clientData/>
  </xdr:twoCellAnchor>
  <xdr:twoCellAnchor>
    <xdr:from>
      <xdr:col>5</xdr:col>
      <xdr:colOff>0</xdr:colOff>
      <xdr:row>22</xdr:row>
      <xdr:rowOff>159026</xdr:rowOff>
    </xdr:from>
    <xdr:to>
      <xdr:col>8</xdr:col>
      <xdr:colOff>0</xdr:colOff>
      <xdr:row>24</xdr:row>
      <xdr:rowOff>150006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CD0DE208-FBBE-4B8F-BDF8-246E40492E4D}"/>
            </a:ext>
          </a:extLst>
        </xdr:cNvPr>
        <xdr:cNvSpPr/>
      </xdr:nvSpPr>
      <xdr:spPr>
        <a:xfrm>
          <a:off x="4343400" y="4426226"/>
          <a:ext cx="1619250" cy="371980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8</xdr:col>
      <xdr:colOff>6627</xdr:colOff>
      <xdr:row>22</xdr:row>
      <xdr:rowOff>156955</xdr:rowOff>
    </xdr:from>
    <xdr:to>
      <xdr:col>10</xdr:col>
      <xdr:colOff>0</xdr:colOff>
      <xdr:row>24</xdr:row>
      <xdr:rowOff>153719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24AB1A9B-1E1C-4597-BC3B-DE85C38FED7A}"/>
            </a:ext>
          </a:extLst>
        </xdr:cNvPr>
        <xdr:cNvSpPr/>
      </xdr:nvSpPr>
      <xdr:spPr>
        <a:xfrm>
          <a:off x="5969277" y="4424155"/>
          <a:ext cx="974448" cy="377764"/>
        </a:xfrm>
        <a:prstGeom prst="roundRect">
          <a:avLst/>
        </a:prstGeom>
        <a:solidFill>
          <a:schemeClr val="accent1">
            <a:lumMod val="60000"/>
            <a:lumOff val="4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TS+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chapeaux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16151</xdr:colOff>
      <xdr:row>22</xdr:row>
      <xdr:rowOff>154056</xdr:rowOff>
    </xdr:from>
    <xdr:to>
      <xdr:col>13</xdr:col>
      <xdr:colOff>6625</xdr:colOff>
      <xdr:row>24</xdr:row>
      <xdr:rowOff>144193</xdr:rowOff>
    </xdr:to>
    <xdr:sp macro="" textlink="">
      <xdr:nvSpPr>
        <xdr:cNvPr id="11" name="Rectangle : coins arrondis 10">
          <a:extLst>
            <a:ext uri="{FF2B5EF4-FFF2-40B4-BE49-F238E27FC236}">
              <a16:creationId xmlns:a16="http://schemas.microsoft.com/office/drawing/2014/main" id="{5EEF7078-C0C2-434E-93EC-597A63A451F8}"/>
            </a:ext>
          </a:extLst>
        </xdr:cNvPr>
        <xdr:cNvSpPr/>
      </xdr:nvSpPr>
      <xdr:spPr>
        <a:xfrm>
          <a:off x="6959876" y="4421256"/>
          <a:ext cx="1952624" cy="371137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béton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de table</a:t>
          </a:r>
          <a:endParaRPr lang="fr-FR" sz="1100" b="1" i="0">
            <a:ln cap="flat" cmpd="sng">
              <a:noFill/>
            </a:ln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172211</xdr:colOff>
      <xdr:row>0</xdr:row>
      <xdr:rowOff>97566</xdr:rowOff>
    </xdr:from>
    <xdr:to>
      <xdr:col>1</xdr:col>
      <xdr:colOff>685800</xdr:colOff>
      <xdr:row>3</xdr:row>
      <xdr:rowOff>75608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0BF75EF-BF3F-4EA4-9498-B3AB69005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11" y="97566"/>
          <a:ext cx="1237489" cy="54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168963</xdr:colOff>
      <xdr:row>16</xdr:row>
      <xdr:rowOff>69574</xdr:rowOff>
    </xdr:from>
    <xdr:to>
      <xdr:col>2</xdr:col>
      <xdr:colOff>39756</xdr:colOff>
      <xdr:row>16</xdr:row>
      <xdr:rowOff>188844</xdr:rowOff>
    </xdr:to>
    <xdr:sp macro="" textlink="">
      <xdr:nvSpPr>
        <xdr:cNvPr id="18" name="Flèche : droite 17">
          <a:extLst>
            <a:ext uri="{FF2B5EF4-FFF2-40B4-BE49-F238E27FC236}">
              <a16:creationId xmlns:a16="http://schemas.microsoft.com/office/drawing/2014/main" id="{8D631F8D-4101-4975-B440-A5496DF65CF6}"/>
            </a:ext>
          </a:extLst>
        </xdr:cNvPr>
        <xdr:cNvSpPr/>
      </xdr:nvSpPr>
      <xdr:spPr>
        <a:xfrm>
          <a:off x="892863" y="3289024"/>
          <a:ext cx="594693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9524</xdr:colOff>
      <xdr:row>13</xdr:row>
      <xdr:rowOff>152400</xdr:rowOff>
    </xdr:from>
    <xdr:to>
      <xdr:col>7</xdr:col>
      <xdr:colOff>1600199</xdr:colOff>
      <xdr:row>15</xdr:row>
      <xdr:rowOff>150006</xdr:rowOff>
    </xdr:to>
    <xdr:sp macro="" textlink="">
      <xdr:nvSpPr>
        <xdr:cNvPr id="22" name="Rectangle : coins arrondis 21">
          <a:extLst>
            <a:ext uri="{FF2B5EF4-FFF2-40B4-BE49-F238E27FC236}">
              <a16:creationId xmlns:a16="http://schemas.microsoft.com/office/drawing/2014/main" id="{EE1153CD-EEEA-4AE0-9A7C-3D5FD0E9214D}"/>
            </a:ext>
          </a:extLst>
        </xdr:cNvPr>
        <xdr:cNvSpPr/>
      </xdr:nvSpPr>
      <xdr:spPr>
        <a:xfrm>
          <a:off x="4352924" y="2600325"/>
          <a:ext cx="1590675" cy="369081"/>
        </a:xfrm>
        <a:prstGeom prst="roundRect">
          <a:avLst/>
        </a:prstGeom>
        <a:solidFill>
          <a:srgbClr val="BBA791"/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entrevous</a:t>
          </a:r>
        </a:p>
      </xdr:txBody>
    </xdr:sp>
    <xdr:clientData/>
  </xdr:twoCellAnchor>
  <xdr:twoCellAnchor>
    <xdr:from>
      <xdr:col>4</xdr:col>
      <xdr:colOff>189672</xdr:colOff>
      <xdr:row>4</xdr:row>
      <xdr:rowOff>195055</xdr:rowOff>
    </xdr:from>
    <xdr:to>
      <xdr:col>9</xdr:col>
      <xdr:colOff>969726</xdr:colOff>
      <xdr:row>10</xdr:row>
      <xdr:rowOff>99977</xdr:rowOff>
    </xdr:to>
    <xdr:sp macro="" textlink="">
      <xdr:nvSpPr>
        <xdr:cNvPr id="32" name="Rectangle : coins arrondis 31">
          <a:extLst>
            <a:ext uri="{FF2B5EF4-FFF2-40B4-BE49-F238E27FC236}">
              <a16:creationId xmlns:a16="http://schemas.microsoft.com/office/drawing/2014/main" id="{C53EE649-6A3E-4B52-B95C-2A1E68B5E146}"/>
            </a:ext>
          </a:extLst>
        </xdr:cNvPr>
        <xdr:cNvSpPr/>
      </xdr:nvSpPr>
      <xdr:spPr>
        <a:xfrm>
          <a:off x="4209222" y="928480"/>
          <a:ext cx="2656479" cy="106697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CALCUL POIDS CARBONE PLANCHER</a:t>
          </a:r>
        </a:p>
      </xdr:txBody>
    </xdr:sp>
    <xdr:clientData/>
  </xdr:twoCellAnchor>
  <xdr:twoCellAnchor>
    <xdr:from>
      <xdr:col>11</xdr:col>
      <xdr:colOff>40999</xdr:colOff>
      <xdr:row>27</xdr:row>
      <xdr:rowOff>114301</xdr:rowOff>
    </xdr:from>
    <xdr:to>
      <xdr:col>12</xdr:col>
      <xdr:colOff>636949</xdr:colOff>
      <xdr:row>29</xdr:row>
      <xdr:rowOff>105603</xdr:rowOff>
    </xdr:to>
    <xdr:sp macro="" textlink="">
      <xdr:nvSpPr>
        <xdr:cNvPr id="33" name="Rectangle : coins arrondis 32">
          <a:extLst>
            <a:ext uri="{FF2B5EF4-FFF2-40B4-BE49-F238E27FC236}">
              <a16:creationId xmlns:a16="http://schemas.microsoft.com/office/drawing/2014/main" id="{39A0C860-D976-4D4A-932D-BF2543FB00FE}"/>
            </a:ext>
          </a:extLst>
        </xdr:cNvPr>
        <xdr:cNvSpPr/>
      </xdr:nvSpPr>
      <xdr:spPr>
        <a:xfrm>
          <a:off x="6984724" y="5314951"/>
          <a:ext cx="1843725" cy="391352"/>
        </a:xfrm>
        <a:prstGeom prst="roundRect">
          <a:avLst/>
        </a:prstGeom>
        <a:solidFill>
          <a:schemeClr val="accent3">
            <a:lumMod val="40000"/>
            <a:lumOff val="60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lvl="0" algn="ctr"/>
          <a:r>
            <a:rPr lang="fr-FR" sz="1600" b="1" i="0">
              <a:ln cap="flat" cmpd="sng">
                <a:noFill/>
              </a:ln>
              <a:solidFill>
                <a:schemeClr val="tx1"/>
              </a:solidFill>
            </a:rPr>
            <a:t>TOTAL PLANCHER </a:t>
          </a:r>
        </a:p>
      </xdr:txBody>
    </xdr:sp>
    <xdr:clientData/>
  </xdr:twoCellAnchor>
  <xdr:twoCellAnchor>
    <xdr:from>
      <xdr:col>1</xdr:col>
      <xdr:colOff>168963</xdr:colOff>
      <xdr:row>16</xdr:row>
      <xdr:rowOff>69574</xdr:rowOff>
    </xdr:from>
    <xdr:to>
      <xdr:col>2</xdr:col>
      <xdr:colOff>39756</xdr:colOff>
      <xdr:row>16</xdr:row>
      <xdr:rowOff>188844</xdr:rowOff>
    </xdr:to>
    <xdr:sp macro="" textlink="">
      <xdr:nvSpPr>
        <xdr:cNvPr id="37" name="Flèche : droite 36">
          <a:extLst>
            <a:ext uri="{FF2B5EF4-FFF2-40B4-BE49-F238E27FC236}">
              <a16:creationId xmlns:a16="http://schemas.microsoft.com/office/drawing/2014/main" id="{A955C493-598B-486C-BA7E-32FA37B027BD}"/>
            </a:ext>
          </a:extLst>
        </xdr:cNvPr>
        <xdr:cNvSpPr/>
      </xdr:nvSpPr>
      <xdr:spPr>
        <a:xfrm>
          <a:off x="892863" y="3289024"/>
          <a:ext cx="594693" cy="119270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19050</xdr:colOff>
      <xdr:row>12</xdr:row>
      <xdr:rowOff>179733</xdr:rowOff>
    </xdr:from>
    <xdr:to>
      <xdr:col>4</xdr:col>
      <xdr:colOff>371475</xdr:colOff>
      <xdr:row>15</xdr:row>
      <xdr:rowOff>166597</xdr:rowOff>
    </xdr:to>
    <xdr:sp macro="" textlink="">
      <xdr:nvSpPr>
        <xdr:cNvPr id="39" name="Rectangle : coins arrondis 38">
          <a:extLst>
            <a:ext uri="{FF2B5EF4-FFF2-40B4-BE49-F238E27FC236}">
              <a16:creationId xmlns:a16="http://schemas.microsoft.com/office/drawing/2014/main" id="{AE7D9E4C-1576-47BB-AE7A-1E4CC6C2FD02}"/>
            </a:ext>
          </a:extLst>
        </xdr:cNvPr>
        <xdr:cNvSpPr/>
      </xdr:nvSpPr>
      <xdr:spPr>
        <a:xfrm>
          <a:off x="3981450" y="2437158"/>
          <a:ext cx="352425" cy="548839"/>
        </a:xfrm>
        <a:prstGeom prst="roundRect">
          <a:avLst/>
        </a:prstGeom>
        <a:solidFill>
          <a:schemeClr val="bg1">
            <a:lumMod val="65000"/>
          </a:schemeClr>
        </a:solidFill>
        <a:scene3d>
          <a:camera prst="orthographicFront"/>
          <a:lightRig rig="threePt" dir="t"/>
        </a:scene3d>
        <a:sp3d>
          <a:bevelT/>
          <a:bevelB w="25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1"/>
        <a:lstStyle/>
        <a:p>
          <a:pPr lvl="0" algn="l"/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S</a:t>
          </a:r>
          <a:r>
            <a:rPr lang="fr-FR" sz="1100" b="1" i="0" baseline="0">
              <a:ln cap="flat" cmpd="sng">
                <a:noFill/>
              </a:ln>
              <a:solidFill>
                <a:schemeClr val="tx1"/>
              </a:solidFill>
            </a:rPr>
            <a:t> </a:t>
          </a:r>
          <a:r>
            <a:rPr lang="fr-FR" sz="1100" b="1" i="0">
              <a:ln cap="flat" cmpd="sng">
                <a:noFill/>
              </a:ln>
              <a:solidFill>
                <a:schemeClr val="tx1"/>
              </a:solidFill>
            </a:rPr>
            <a:t>J</a:t>
          </a:r>
        </a:p>
      </xdr:txBody>
    </xdr:sp>
    <xdr:clientData/>
  </xdr:twoCellAnchor>
  <xdr:oneCellAnchor>
    <xdr:from>
      <xdr:col>0</xdr:col>
      <xdr:colOff>600075</xdr:colOff>
      <xdr:row>6</xdr:row>
      <xdr:rowOff>76200</xdr:rowOff>
    </xdr:from>
    <xdr:ext cx="1971675" cy="593239"/>
    <xdr:sp macro="" textlink="">
      <xdr:nvSpPr>
        <xdr:cNvPr id="40" name="ZoneTexte 3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A61331-295A-49C5-9762-ABA09A58F89F}"/>
            </a:ext>
          </a:extLst>
        </xdr:cNvPr>
        <xdr:cNvSpPr txBox="1"/>
      </xdr:nvSpPr>
      <xdr:spPr>
        <a:xfrm>
          <a:off x="600075" y="1219200"/>
          <a:ext cx="1971675" cy="593239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600" b="1" baseline="0"/>
            <a:t>RETOUR  DIMENSIONNEMENT </a:t>
          </a:r>
          <a:endParaRPr lang="fr-FR" sz="1600" b="1"/>
        </a:p>
      </xdr:txBody>
    </xdr:sp>
    <xdr:clientData/>
  </xdr:oneCellAnchor>
  <xdr:twoCellAnchor>
    <xdr:from>
      <xdr:col>16</xdr:col>
      <xdr:colOff>261317</xdr:colOff>
      <xdr:row>16</xdr:row>
      <xdr:rowOff>9525</xdr:rowOff>
    </xdr:from>
    <xdr:to>
      <xdr:col>17</xdr:col>
      <xdr:colOff>390524</xdr:colOff>
      <xdr:row>16</xdr:row>
      <xdr:rowOff>152401</xdr:rowOff>
    </xdr:to>
    <xdr:sp macro="" textlink="">
      <xdr:nvSpPr>
        <xdr:cNvPr id="42" name="Flèche : droite 41">
          <a:extLst>
            <a:ext uri="{FF2B5EF4-FFF2-40B4-BE49-F238E27FC236}">
              <a16:creationId xmlns:a16="http://schemas.microsoft.com/office/drawing/2014/main" id="{F547C4DC-BDC1-4961-B744-318F76A10897}"/>
            </a:ext>
          </a:extLst>
        </xdr:cNvPr>
        <xdr:cNvSpPr/>
      </xdr:nvSpPr>
      <xdr:spPr>
        <a:xfrm flipH="1">
          <a:off x="9100517" y="3028950"/>
          <a:ext cx="700707" cy="14287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282089</xdr:colOff>
      <xdr:row>23</xdr:row>
      <xdr:rowOff>103946</xdr:rowOff>
    </xdr:from>
    <xdr:to>
      <xdr:col>6</xdr:col>
      <xdr:colOff>56157</xdr:colOff>
      <xdr:row>33</xdr:row>
      <xdr:rowOff>84953</xdr:rowOff>
    </xdr:to>
    <xdr:pic>
      <xdr:nvPicPr>
        <xdr:cNvPr id="14" name="Imag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2A3540-30E8-E8C3-8299-D293B59AD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48" l="1233" r="99383">
                      <a14:foregroundMark x1="70900" y1="86596" x2="70900" y2="865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68089" y="3828221"/>
          <a:ext cx="2060068" cy="1600257"/>
        </a:xfrm>
        <a:prstGeom prst="rect">
          <a:avLst/>
        </a:prstGeom>
      </xdr:spPr>
    </xdr:pic>
    <xdr:clientData/>
  </xdr:twoCellAnchor>
  <xdr:oneCellAnchor>
    <xdr:from>
      <xdr:col>0</xdr:col>
      <xdr:colOff>234813</xdr:colOff>
      <xdr:row>5</xdr:row>
      <xdr:rowOff>54666</xdr:rowOff>
    </xdr:from>
    <xdr:ext cx="3063146" cy="342786"/>
    <xdr:sp macro="" textlink="">
      <xdr:nvSpPr>
        <xdr:cNvPr id="7" name="ZoneText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CB84A7F-6FB4-4DBF-93B9-6AB4E1F4A928}"/>
            </a:ext>
          </a:extLst>
        </xdr:cNvPr>
        <xdr:cNvSpPr txBox="1"/>
      </xdr:nvSpPr>
      <xdr:spPr>
        <a:xfrm>
          <a:off x="234813" y="882927"/>
          <a:ext cx="306314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RETOUR AU DIMENSIONNEMENT </a:t>
          </a:r>
          <a:endParaRPr lang="fr-FR" sz="1600" b="1"/>
        </a:p>
      </xdr:txBody>
    </xdr:sp>
    <xdr:clientData/>
  </xdr:oneCellAnchor>
  <xdr:twoCellAnchor editAs="oneCell">
    <xdr:from>
      <xdr:col>12</xdr:col>
      <xdr:colOff>175995</xdr:colOff>
      <xdr:row>31</xdr:row>
      <xdr:rowOff>152399</xdr:rowOff>
    </xdr:from>
    <xdr:to>
      <xdr:col>15</xdr:col>
      <xdr:colOff>747690</xdr:colOff>
      <xdr:row>40</xdr:row>
      <xdr:rowOff>114299</xdr:rowOff>
    </xdr:to>
    <xdr:pic>
      <xdr:nvPicPr>
        <xdr:cNvPr id="11" name="Imag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F9AD8D2-8B82-FB40-E0A6-B22F92CA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9319995" y="5015752"/>
          <a:ext cx="2857695" cy="1373841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0</xdr:row>
      <xdr:rowOff>107674</xdr:rowOff>
    </xdr:from>
    <xdr:to>
      <xdr:col>2</xdr:col>
      <xdr:colOff>50548</xdr:colOff>
      <xdr:row>3</xdr:row>
      <xdr:rowOff>129957</xdr:rowOff>
    </xdr:to>
    <xdr:pic>
      <xdr:nvPicPr>
        <xdr:cNvPr id="16" name="Image 2">
          <a:extLst>
            <a:ext uri="{FF2B5EF4-FFF2-40B4-BE49-F238E27FC236}">
              <a16:creationId xmlns:a16="http://schemas.microsoft.com/office/drawing/2014/main" id="{738E8911-778A-4D88-9394-D97AF22E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6" y="107674"/>
          <a:ext cx="1491722" cy="51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536411</xdr:colOff>
      <xdr:row>11</xdr:row>
      <xdr:rowOff>33939</xdr:rowOff>
    </xdr:from>
    <xdr:ext cx="1247969" cy="405432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83BE0BA2-BE6E-FF11-3332-7BF7B8F952EC}"/>
            </a:ext>
          </a:extLst>
        </xdr:cNvPr>
        <xdr:cNvSpPr/>
      </xdr:nvSpPr>
      <xdr:spPr>
        <a:xfrm>
          <a:off x="2060411" y="1815114"/>
          <a:ext cx="1247969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13</xdr:col>
      <xdr:colOff>446456</xdr:colOff>
      <xdr:row>29</xdr:row>
      <xdr:rowOff>61174</xdr:rowOff>
    </xdr:from>
    <xdr:ext cx="2380973" cy="405432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CA4CB872-00F1-4CA4-9B6F-D9F76FF03388}"/>
            </a:ext>
          </a:extLst>
        </xdr:cNvPr>
        <xdr:cNvSpPr/>
      </xdr:nvSpPr>
      <xdr:spPr>
        <a:xfrm>
          <a:off x="10352456" y="4610762"/>
          <a:ext cx="238097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PREDAL-SEACOUSTIC</a:t>
          </a:r>
        </a:p>
      </xdr:txBody>
    </xdr:sp>
    <xdr:clientData/>
  </xdr:oneCellAnchor>
  <xdr:oneCellAnchor>
    <xdr:from>
      <xdr:col>7</xdr:col>
      <xdr:colOff>610618</xdr:colOff>
      <xdr:row>6</xdr:row>
      <xdr:rowOff>157784</xdr:rowOff>
    </xdr:from>
    <xdr:ext cx="1018164" cy="405432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A226D18A-E7A0-4198-A46C-8162B8541087}"/>
            </a:ext>
          </a:extLst>
        </xdr:cNvPr>
        <xdr:cNvSpPr/>
      </xdr:nvSpPr>
      <xdr:spPr>
        <a:xfrm>
          <a:off x="5944618" y="1129334"/>
          <a:ext cx="101816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E.B.S VS</a:t>
          </a:r>
        </a:p>
      </xdr:txBody>
    </xdr:sp>
    <xdr:clientData/>
  </xdr:oneCellAnchor>
  <xdr:oneCellAnchor>
    <xdr:from>
      <xdr:col>11</xdr:col>
      <xdr:colOff>632170</xdr:colOff>
      <xdr:row>15</xdr:row>
      <xdr:rowOff>25554</xdr:rowOff>
    </xdr:from>
    <xdr:ext cx="1144224" cy="405432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99790B64-0F78-44AC-8904-72CF5D7D8B86}"/>
            </a:ext>
          </a:extLst>
        </xdr:cNvPr>
        <xdr:cNvSpPr/>
      </xdr:nvSpPr>
      <xdr:spPr>
        <a:xfrm>
          <a:off x="9014170" y="2378789"/>
          <a:ext cx="114422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1</xdr:col>
      <xdr:colOff>455338</xdr:colOff>
      <xdr:row>25</xdr:row>
      <xdr:rowOff>1657</xdr:rowOff>
    </xdr:from>
    <xdr:ext cx="1173013" cy="405432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925DC177-B67F-4746-8EA6-222DA89E5AE2}"/>
            </a:ext>
          </a:extLst>
        </xdr:cNvPr>
        <xdr:cNvSpPr/>
      </xdr:nvSpPr>
      <xdr:spPr>
        <a:xfrm>
          <a:off x="1217338" y="4049782"/>
          <a:ext cx="11730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6</xdr:col>
      <xdr:colOff>698705</xdr:colOff>
      <xdr:row>27</xdr:row>
      <xdr:rowOff>102500</xdr:rowOff>
    </xdr:from>
    <xdr:ext cx="4065793" cy="718530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8BA78A2A-6BE3-4B07-B594-B6C9B8DA00CF}"/>
            </a:ext>
          </a:extLst>
        </xdr:cNvPr>
        <xdr:cNvSpPr/>
      </xdr:nvSpPr>
      <xdr:spPr>
        <a:xfrm>
          <a:off x="5270705" y="4338324"/>
          <a:ext cx="4065793" cy="71853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cliquer sur l'image d'un plancher</a:t>
          </a:r>
        </a:p>
        <a:p>
          <a:pPr algn="ctr"/>
          <a:r>
            <a:rPr lang="fr-FR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pour</a:t>
          </a:r>
          <a:r>
            <a:rPr lang="fr-FR" sz="20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accéder a l'information produit</a:t>
          </a:r>
          <a:endParaRPr lang="fr-FR" sz="20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517043</xdr:colOff>
      <xdr:row>38</xdr:row>
      <xdr:rowOff>159025</xdr:rowOff>
    </xdr:from>
    <xdr:to>
      <xdr:col>7</xdr:col>
      <xdr:colOff>222801</xdr:colOff>
      <xdr:row>46</xdr:row>
      <xdr:rowOff>92764</xdr:rowOff>
    </xdr:to>
    <xdr:pic>
      <xdr:nvPicPr>
        <xdr:cNvPr id="30" name="Image 2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CAE25B-6AE8-D3D8-3A4A-FAD5F18AF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95" b="100000" l="0" r="99805">
                      <a14:foregroundMark x1="13477" y1="6836" x2="13477" y2="6836"/>
                      <a14:foregroundMark x1="29883" y1="4297" x2="29883" y2="4297"/>
                      <a14:foregroundMark x1="56641" y1="4297" x2="56641" y2="4297"/>
                      <a14:foregroundMark x1="76367" y1="6445" x2="76367" y2="6445"/>
                      <a14:foregroundMark x1="87891" y1="5078" x2="87891" y2="5078"/>
                      <a14:foregroundMark x1="95508" y1="5078" x2="95508" y2="5078"/>
                      <a14:foregroundMark x1="42578" y1="4297" x2="42578" y2="4297"/>
                      <a14:foregroundMark x1="36719" y1="3320" x2="36719" y2="3320"/>
                      <a14:foregroundMark x1="22852" y1="5664" x2="22852" y2="5664"/>
                      <a14:foregroundMark x1="7813" y1="6445" x2="7813" y2="6445"/>
                      <a14:foregroundMark x1="2539" y1="6445" x2="2539" y2="6445"/>
                      <a14:foregroundMark x1="81055" y1="4297" x2="81055" y2="4297"/>
                      <a14:foregroundMark x1="71875" y1="4102" x2="71875" y2="4102"/>
                      <a14:foregroundMark x1="68164" y1="3711" x2="68164" y2="3711"/>
                      <a14:foregroundMark x1="65430" y1="4102" x2="65430" y2="4102"/>
                      <a14:foregroundMark x1="63086" y1="4297" x2="63086" y2="4297"/>
                      <a14:foregroundMark x1="61523" y1="4492" x2="61523" y2="4492"/>
                      <a14:foregroundMark x1="58984" y1="4883" x2="58984" y2="4883"/>
                      <a14:foregroundMark x1="75195" y1="64063" x2="75195" y2="64063"/>
                      <a14:foregroundMark x1="75977" y1="68555" x2="75977" y2="68555"/>
                      <a14:foregroundMark x1="76953" y1="77539" x2="76953" y2="77539"/>
                      <a14:foregroundMark x1="78320" y1="80273" x2="78320" y2="80273"/>
                      <a14:foregroundMark x1="84570" y1="82227" x2="84570" y2="82227"/>
                      <a14:foregroundMark x1="90234" y1="77344" x2="90234" y2="77344"/>
                      <a14:foregroundMark x1="92578" y1="71289" x2="92578" y2="71289"/>
                      <a14:foregroundMark x1="94141" y1="63281" x2="94141" y2="63281"/>
                      <a14:foregroundMark x1="94531" y1="59961" x2="94531" y2="59961"/>
                      <a14:foregroundMark x1="96289" y1="51758" x2="96289" y2="51758"/>
                      <a14:foregroundMark x1="82031" y1="72656" x2="82031" y2="72656"/>
                      <a14:foregroundMark x1="83398" y1="67578" x2="83398" y2="67578"/>
                      <a14:foregroundMark x1="83008" y1="63086" x2="83008" y2="63086"/>
                      <a14:foregroundMark x1="82422" y1="61719" x2="82422" y2="61719"/>
                      <a14:foregroundMark x1="70117" y1="82813" x2="70117" y2="82813"/>
                      <a14:foregroundMark x1="73242" y1="88867" x2="73828" y2="88867"/>
                      <a14:foregroundMark x1="75977" y1="88477" x2="75977" y2="88477"/>
                      <a14:foregroundMark x1="77734" y1="87695" x2="80469" y2="87695"/>
                      <a14:foregroundMark x1="82227" y1="87500" x2="82813" y2="87109"/>
                      <a14:foregroundMark x1="83398" y1="86328" x2="83984" y2="86328"/>
                      <a14:foregroundMark x1="84961" y1="85547" x2="84961" y2="85547"/>
                      <a14:foregroundMark x1="86719" y1="84766" x2="87305" y2="84766"/>
                      <a14:foregroundMark x1="91211" y1="81836" x2="91211" y2="81836"/>
                      <a14:foregroundMark x1="92188" y1="81445" x2="92188" y2="81445"/>
                      <a14:foregroundMark x1="93945" y1="80078" x2="93945" y2="80078"/>
                      <a14:foregroundMark x1="50781" y1="79492" x2="50781" y2="79492"/>
                      <a14:foregroundMark x1="45898" y1="76367" x2="45313" y2="75586"/>
                      <a14:foregroundMark x1="38281" y1="71289" x2="38281" y2="71289"/>
                      <a14:foregroundMark x1="35742" y1="69531" x2="35352" y2="69336"/>
                      <a14:foregroundMark x1="30273" y1="66016" x2="30273" y2="66016"/>
                      <a14:foregroundMark x1="27148" y1="62500" x2="26953" y2="61719"/>
                      <a14:foregroundMark x1="21484" y1="55078" x2="21484" y2="55078"/>
                      <a14:foregroundMark x1="16406" y1="53125" x2="16406" y2="53125"/>
                      <a14:foregroundMark x1="4297" y1="44141" x2="4297" y2="44141"/>
                      <a14:foregroundMark x1="4492" y1="50977" x2="4492" y2="50977"/>
                      <a14:foregroundMark x1="6836" y1="58789" x2="6836" y2="58789"/>
                      <a14:foregroundMark x1="8203" y1="62695" x2="8594" y2="64063"/>
                      <a14:foregroundMark x1="8984" y1="68164" x2="9961" y2="69922"/>
                      <a14:foregroundMark x1="13281" y1="73438" x2="14063" y2="73633"/>
                      <a14:foregroundMark x1="16406" y1="75977" x2="19141" y2="78125"/>
                      <a14:foregroundMark x1="22461" y1="79688" x2="23047" y2="80078"/>
                      <a14:foregroundMark x1="28320" y1="83594" x2="29883" y2="85547"/>
                      <a14:foregroundMark x1="27148" y1="87109" x2="27148" y2="87109"/>
                      <a14:foregroundMark x1="13477" y1="83398" x2="13477" y2="83398"/>
                      <a14:foregroundMark x1="9375" y1="78906" x2="9375" y2="78906"/>
                      <a14:foregroundMark x1="7227" y1="76758" x2="7227" y2="76758"/>
                      <a14:foregroundMark x1="25000" y1="85156" x2="26172" y2="85742"/>
                      <a14:foregroundMark x1="31055" y1="90625" x2="32227" y2="91016"/>
                      <a14:foregroundMark x1="34375" y1="91992" x2="35742" y2="92969"/>
                      <a14:foregroundMark x1="39258" y1="93945" x2="39258" y2="93945"/>
                      <a14:foregroundMark x1="41211" y1="91211" x2="41211" y2="91211"/>
                      <a14:foregroundMark x1="42578" y1="86133" x2="42578" y2="86133"/>
                      <a14:foregroundMark x1="40820" y1="81055" x2="40820" y2="81055"/>
                      <a14:foregroundMark x1="34766" y1="78125" x2="32813" y2="77344"/>
                      <a14:foregroundMark x1="26172" y1="74219" x2="26172" y2="74219"/>
                      <a14:foregroundMark x1="21289" y1="67578" x2="21289" y2="67578"/>
                      <a14:foregroundMark x1="19531" y1="66016" x2="19531" y2="66016"/>
                      <a14:foregroundMark x1="21875" y1="62500" x2="21875" y2="62500"/>
                      <a14:foregroundMark x1="17188" y1="56641" x2="16992" y2="55078"/>
                      <a14:foregroundMark x1="10156" y1="48438" x2="10156" y2="48438"/>
                      <a14:foregroundMark x1="53711" y1="81641" x2="53711" y2="81641"/>
                      <a14:foregroundMark x1="54492" y1="78711" x2="54492" y2="78711"/>
                      <a14:foregroundMark x1="55469" y1="75977" x2="56445" y2="75977"/>
                      <a14:foregroundMark x1="58398" y1="77734" x2="58594" y2="78906"/>
                      <a14:foregroundMark x1="58789" y1="82422" x2="58984" y2="84375"/>
                      <a14:foregroundMark x1="59180" y1="86523" x2="59766" y2="87891"/>
                      <a14:foregroundMark x1="61914" y1="89258" x2="61914" y2="89258"/>
                      <a14:foregroundMark x1="65039" y1="91211" x2="65820" y2="91797"/>
                      <a14:foregroundMark x1="67188" y1="91992" x2="67188" y2="91992"/>
                      <a14:foregroundMark x1="70703" y1="92969" x2="70703" y2="92969"/>
                      <a14:foregroundMark x1="74414" y1="94727" x2="74414" y2="94727"/>
                      <a14:foregroundMark x1="75977" y1="94531" x2="75977" y2="94531"/>
                      <a14:foregroundMark x1="77930" y1="93359" x2="79102" y2="93359"/>
                      <a14:foregroundMark x1="80273" y1="93164" x2="80273" y2="93164"/>
                      <a14:foregroundMark x1="81641" y1="92578" x2="82617" y2="92383"/>
                      <a14:foregroundMark x1="83984" y1="91016" x2="83984" y2="91016"/>
                      <a14:foregroundMark x1="86133" y1="83594" x2="86133" y2="83594"/>
                      <a14:foregroundMark x1="86133" y1="79492" x2="86133" y2="79492"/>
                      <a14:foregroundMark x1="86133" y1="77539" x2="86133" y2="77539"/>
                      <a14:foregroundMark x1="87500" y1="76172" x2="87500" y2="76172"/>
                      <a14:foregroundMark x1="88281" y1="75977" x2="87109" y2="76953"/>
                      <a14:foregroundMark x1="81250" y1="78320" x2="81250" y2="79688"/>
                      <a14:foregroundMark x1="81250" y1="82813" x2="81055" y2="83594"/>
                      <a14:foregroundMark x1="78906" y1="85156" x2="76953" y2="86328"/>
                      <a14:foregroundMark x1="75586" y1="85156" x2="75586" y2="85156"/>
                      <a14:foregroundMark x1="72461" y1="89063" x2="72461" y2="90234"/>
                      <a14:foregroundMark x1="71094" y1="92969" x2="70313" y2="93945"/>
                      <a14:foregroundMark x1="68555" y1="95117" x2="68555" y2="95117"/>
                      <a14:foregroundMark x1="66211" y1="94727" x2="66211" y2="94727"/>
                      <a14:foregroundMark x1="64453" y1="95117" x2="64453" y2="95117"/>
                      <a14:foregroundMark x1="61719" y1="95117" x2="60938" y2="95313"/>
                      <a14:foregroundMark x1="59375" y1="95313" x2="59375" y2="95313"/>
                      <a14:foregroundMark x1="57031" y1="95313" x2="57031" y2="95313"/>
                      <a14:foregroundMark x1="54688" y1="95703" x2="54688" y2="95703"/>
                      <a14:foregroundMark x1="53125" y1="93945" x2="53125" y2="93945"/>
                      <a14:foregroundMark x1="51758" y1="92969" x2="51758" y2="92969"/>
                      <a14:foregroundMark x1="50781" y1="90625" x2="50781" y2="90625"/>
                      <a14:foregroundMark x1="48438" y1="91016" x2="48438" y2="91016"/>
                      <a14:foregroundMark x1="45508" y1="92969" x2="45508" y2="92969"/>
                      <a14:foregroundMark x1="43945" y1="92383" x2="43945" y2="92383"/>
                      <a14:foregroundMark x1="42773" y1="89648" x2="42773" y2="89648"/>
                      <a14:foregroundMark x1="38477" y1="88281" x2="38477" y2="88281"/>
                      <a14:foregroundMark x1="36914" y1="86523" x2="36523" y2="87500"/>
                      <a14:foregroundMark x1="35742" y1="88477" x2="35742" y2="88477"/>
                      <a14:foregroundMark x1="34570" y1="90430" x2="33203" y2="91797"/>
                      <a14:foregroundMark x1="29492" y1="93164" x2="29492" y2="93164"/>
                      <a14:foregroundMark x1="26172" y1="92578" x2="26172" y2="92578"/>
                      <a14:foregroundMark x1="24609" y1="90625" x2="24609" y2="90625"/>
                      <a14:foregroundMark x1="22266" y1="88281" x2="21875" y2="88281"/>
                      <a14:foregroundMark x1="19727" y1="87109" x2="19727" y2="87109"/>
                      <a14:foregroundMark x1="18359" y1="86328" x2="17773" y2="85742"/>
                      <a14:foregroundMark x1="16211" y1="82227" x2="15430" y2="80859"/>
                      <a14:foregroundMark x1="12891" y1="78125" x2="12891" y2="78125"/>
                      <a14:foregroundMark x1="9961" y1="75391" x2="9180" y2="74609"/>
                      <a14:foregroundMark x1="4492" y1="69922" x2="4297" y2="68945"/>
                      <a14:foregroundMark x1="2344" y1="64648" x2="2344" y2="64648"/>
                      <a14:foregroundMark x1="2344" y1="64453" x2="2344" y2="64453"/>
                      <a14:foregroundMark x1="2734" y1="70313" x2="2734" y2="70313"/>
                      <a14:foregroundMark x1="3320" y1="70898" x2="3320" y2="70898"/>
                      <a14:foregroundMark x1="2344" y1="41016" x2="2344" y2="41016"/>
                      <a14:foregroundMark x1="95703" y1="83594" x2="95703" y2="83594"/>
                      <a14:foregroundMark x1="97070" y1="79102" x2="97070" y2="79102"/>
                      <a14:foregroundMark x1="97461" y1="73438" x2="97461" y2="73438"/>
                      <a14:foregroundMark x1="97070" y1="71289" x2="96484" y2="71289"/>
                      <a14:foregroundMark x1="95508" y1="71289" x2="95508" y2="71289"/>
                      <a14:foregroundMark x1="47461" y1="95313" x2="47461" y2="95313"/>
                      <a14:foregroundMark x1="44336" y1="95898" x2="44336" y2="95898"/>
                      <a14:foregroundMark x1="45898" y1="98047" x2="45898" y2="98047"/>
                      <a14:foregroundMark x1="33984" y1="98047" x2="33984" y2="98047"/>
                      <a14:foregroundMark x1="31641" y1="98438" x2="31641" y2="98438"/>
                      <a14:foregroundMark x1="26563" y1="98438" x2="26563" y2="98438"/>
                      <a14:foregroundMark x1="23633" y1="95898" x2="23633" y2="95898"/>
                      <a14:foregroundMark x1="18750" y1="92969" x2="18750" y2="92969"/>
                      <a14:foregroundMark x1="14063" y1="89063" x2="14063" y2="8906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65043" y="6312175"/>
          <a:ext cx="1991758" cy="1229139"/>
        </a:xfrm>
        <a:prstGeom prst="rect">
          <a:avLst/>
        </a:prstGeom>
      </xdr:spPr>
    </xdr:pic>
    <xdr:clientData/>
  </xdr:twoCellAnchor>
  <xdr:oneCellAnchor>
    <xdr:from>
      <xdr:col>3</xdr:col>
      <xdr:colOff>504129</xdr:colOff>
      <xdr:row>35</xdr:row>
      <xdr:rowOff>149088</xdr:rowOff>
    </xdr:from>
    <xdr:ext cx="1437381" cy="405432"/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15F928F2-7845-47A4-844B-60EBE5370681}"/>
            </a:ext>
          </a:extLst>
        </xdr:cNvPr>
        <xdr:cNvSpPr/>
      </xdr:nvSpPr>
      <xdr:spPr>
        <a:xfrm>
          <a:off x="2790129" y="5816463"/>
          <a:ext cx="1437381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E.B.S Etages</a:t>
          </a:r>
        </a:p>
      </xdr:txBody>
    </xdr:sp>
    <xdr:clientData/>
  </xdr:oneCellAnchor>
  <xdr:twoCellAnchor editAs="oneCell">
    <xdr:from>
      <xdr:col>8</xdr:col>
      <xdr:colOff>235924</xdr:colOff>
      <xdr:row>23</xdr:row>
      <xdr:rowOff>80159</xdr:rowOff>
    </xdr:from>
    <xdr:to>
      <xdr:col>9</xdr:col>
      <xdr:colOff>197567</xdr:colOff>
      <xdr:row>28</xdr:row>
      <xdr:rowOff>11451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ADA4A459-E20D-406E-94D5-3811537F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20880400">
          <a:off x="6331924" y="3688453"/>
          <a:ext cx="723643" cy="715704"/>
        </a:xfrm>
        <a:prstGeom prst="rect">
          <a:avLst/>
        </a:prstGeom>
      </xdr:spPr>
    </xdr:pic>
    <xdr:clientData/>
  </xdr:twoCellAnchor>
  <xdr:twoCellAnchor editAs="oneCell">
    <xdr:from>
      <xdr:col>9</xdr:col>
      <xdr:colOff>737572</xdr:colOff>
      <xdr:row>23</xdr:row>
      <xdr:rowOff>86571</xdr:rowOff>
    </xdr:from>
    <xdr:to>
      <xdr:col>10</xdr:col>
      <xdr:colOff>695572</xdr:colOff>
      <xdr:row>28</xdr:row>
      <xdr:rowOff>16464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78E22B7-8035-468C-948F-0761F764C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4750477">
          <a:off x="7598419" y="3692018"/>
          <a:ext cx="714305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491937</xdr:colOff>
      <xdr:row>16</xdr:row>
      <xdr:rowOff>2801</xdr:rowOff>
    </xdr:from>
    <xdr:to>
      <xdr:col>15</xdr:col>
      <xdr:colOff>426128</xdr:colOff>
      <xdr:row>25</xdr:row>
      <xdr:rowOff>140634</xdr:rowOff>
    </xdr:to>
    <xdr:pic>
      <xdr:nvPicPr>
        <xdr:cNvPr id="2" name="Image 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C310422-4065-1E9A-A118-0DB8E83D3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73937" y="2512919"/>
          <a:ext cx="2982191" cy="1549774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276225</xdr:colOff>
      <xdr:row>8</xdr:row>
      <xdr:rowOff>118922</xdr:rowOff>
    </xdr:from>
    <xdr:to>
      <xdr:col>11</xdr:col>
      <xdr:colOff>152400</xdr:colOff>
      <xdr:row>18</xdr:row>
      <xdr:rowOff>67030</xdr:rowOff>
    </xdr:to>
    <xdr:pic>
      <xdr:nvPicPr>
        <xdr:cNvPr id="6" name="Image 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90515D1-5D12-1E92-0BC7-D8090253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10225" y="1414322"/>
          <a:ext cx="2924175" cy="1567358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10</xdr:row>
      <xdr:rowOff>146455</xdr:rowOff>
    </xdr:from>
    <xdr:to>
      <xdr:col>6</xdr:col>
      <xdr:colOff>695325</xdr:colOff>
      <xdr:row>21</xdr:row>
      <xdr:rowOff>19430</xdr:rowOff>
    </xdr:to>
    <xdr:pic>
      <xdr:nvPicPr>
        <xdr:cNvPr id="8" name="Image 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1F0C13B6-7DEF-8E57-D7FE-F3621A16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81225" y="1765705"/>
          <a:ext cx="3086100" cy="16541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36</xdr:row>
      <xdr:rowOff>142875</xdr:rowOff>
    </xdr:from>
    <xdr:to>
      <xdr:col>12</xdr:col>
      <xdr:colOff>257175</xdr:colOff>
      <xdr:row>46</xdr:row>
      <xdr:rowOff>122822</xdr:rowOff>
    </xdr:to>
    <xdr:pic>
      <xdr:nvPicPr>
        <xdr:cNvPr id="3" name="Image 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D2BBE635-72FA-4CE8-9A22-761BC230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389" b="96238" l="6883" r="94939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24675" y="5972175"/>
          <a:ext cx="2476500" cy="1599197"/>
        </a:xfrm>
        <a:prstGeom prst="rect">
          <a:avLst/>
        </a:prstGeom>
      </xdr:spPr>
    </xdr:pic>
    <xdr:clientData/>
  </xdr:twoCellAnchor>
  <xdr:oneCellAnchor>
    <xdr:from>
      <xdr:col>8</xdr:col>
      <xdr:colOff>249001</xdr:colOff>
      <xdr:row>42</xdr:row>
      <xdr:rowOff>96907</xdr:rowOff>
    </xdr:from>
    <xdr:ext cx="1204689" cy="405432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46A6ED00-C080-4B27-9A83-34B66D8B73B4}"/>
            </a:ext>
          </a:extLst>
        </xdr:cNvPr>
        <xdr:cNvSpPr/>
      </xdr:nvSpPr>
      <xdr:spPr>
        <a:xfrm>
          <a:off x="6345001" y="6897757"/>
          <a:ext cx="1204689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42808</xdr:colOff>
      <xdr:row>14</xdr:row>
      <xdr:rowOff>156770</xdr:rowOff>
    </xdr:from>
    <xdr:to>
      <xdr:col>14</xdr:col>
      <xdr:colOff>702275</xdr:colOff>
      <xdr:row>56</xdr:row>
      <xdr:rowOff>32694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24D78AE-8FF1-A16D-712E-32864F6D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2387" y="2939354"/>
          <a:ext cx="9017922" cy="6618340"/>
        </a:xfrm>
        <a:prstGeom prst="rect">
          <a:avLst/>
        </a:prstGeom>
      </xdr:spPr>
    </xdr:pic>
    <xdr:clientData/>
  </xdr:twoCellAnchor>
  <xdr:oneCellAnchor>
    <xdr:from>
      <xdr:col>0</xdr:col>
      <xdr:colOff>195263</xdr:colOff>
      <xdr:row>3</xdr:row>
      <xdr:rowOff>433387</xdr:rowOff>
    </xdr:from>
    <xdr:ext cx="3063146" cy="342786"/>
    <xdr:sp macro="" textlink="">
      <xdr:nvSpPr>
        <xdr:cNvPr id="4" name="ZoneText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E12F3E-52EC-4E2C-9813-1D16FD9F8DE6}"/>
            </a:ext>
          </a:extLst>
        </xdr:cNvPr>
        <xdr:cNvSpPr txBox="1"/>
      </xdr:nvSpPr>
      <xdr:spPr>
        <a:xfrm>
          <a:off x="195263" y="933450"/>
          <a:ext cx="306314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RETOUR AU DIMENSIONNEMENT </a:t>
          </a:r>
          <a:endParaRPr lang="fr-FR" sz="1600" b="1"/>
        </a:p>
      </xdr:txBody>
    </xdr:sp>
    <xdr:clientData/>
  </xdr:oneCellAnchor>
  <xdr:oneCellAnchor>
    <xdr:from>
      <xdr:col>0</xdr:col>
      <xdr:colOff>120614</xdr:colOff>
      <xdr:row>26</xdr:row>
      <xdr:rowOff>123718</xdr:rowOff>
    </xdr:from>
    <xdr:ext cx="2169065" cy="264560"/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20F1B81-0AA3-1148-FD3F-7E0B06BA9F31}"/>
            </a:ext>
          </a:extLst>
        </xdr:cNvPr>
        <xdr:cNvSpPr txBox="1"/>
      </xdr:nvSpPr>
      <xdr:spPr>
        <a:xfrm>
          <a:off x="120614" y="4832707"/>
          <a:ext cx="21690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types de plancher à sélectionner</a:t>
          </a:r>
        </a:p>
      </xdr:txBody>
    </xdr:sp>
    <xdr:clientData/>
  </xdr:oneCellAnchor>
  <xdr:twoCellAnchor>
    <xdr:from>
      <xdr:col>3</xdr:col>
      <xdr:colOff>3679</xdr:colOff>
      <xdr:row>25</xdr:row>
      <xdr:rowOff>85618</xdr:rowOff>
    </xdr:from>
    <xdr:to>
      <xdr:col>4</xdr:col>
      <xdr:colOff>72989</xdr:colOff>
      <xdr:row>27</xdr:row>
      <xdr:rowOff>94074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EE7C1EDB-489D-D6EB-2BC5-6320427D6840}"/>
            </a:ext>
          </a:extLst>
        </xdr:cNvPr>
        <xdr:cNvCxnSpPr>
          <a:stCxn id="5" idx="3"/>
        </xdr:cNvCxnSpPr>
      </xdr:nvCxnSpPr>
      <xdr:spPr bwMode="auto">
        <a:xfrm flipV="1">
          <a:off x="2283258" y="4634073"/>
          <a:ext cx="829169" cy="329523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2</xdr:col>
      <xdr:colOff>643634</xdr:colOff>
      <xdr:row>27</xdr:row>
      <xdr:rowOff>140413</xdr:rowOff>
    </xdr:from>
    <xdr:to>
      <xdr:col>4</xdr:col>
      <xdr:colOff>634109</xdr:colOff>
      <xdr:row>31</xdr:row>
      <xdr:rowOff>140413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E2959A57-2DB2-F913-A4FB-DC3D4ACDE4F9}"/>
            </a:ext>
          </a:extLst>
        </xdr:cNvPr>
        <xdr:cNvCxnSpPr/>
      </xdr:nvCxnSpPr>
      <xdr:spPr bwMode="auto">
        <a:xfrm>
          <a:off x="2163353" y="5009935"/>
          <a:ext cx="1510194" cy="64213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0</xdr:col>
      <xdr:colOff>609600</xdr:colOff>
      <xdr:row>41</xdr:row>
      <xdr:rowOff>47625</xdr:rowOff>
    </xdr:from>
    <xdr:ext cx="2169065" cy="264560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2652DE2-CAF8-430E-8B82-74FCA4DE574F}"/>
            </a:ext>
          </a:extLst>
        </xdr:cNvPr>
        <xdr:cNvSpPr txBox="1"/>
      </xdr:nvSpPr>
      <xdr:spPr>
        <a:xfrm>
          <a:off x="609600" y="7315200"/>
          <a:ext cx="21690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affiche le plancher sélectionné</a:t>
          </a:r>
        </a:p>
      </xdr:txBody>
    </xdr:sp>
    <xdr:clientData/>
  </xdr:oneCellAnchor>
  <xdr:twoCellAnchor>
    <xdr:from>
      <xdr:col>3</xdr:col>
      <xdr:colOff>311690</xdr:colOff>
      <xdr:row>39</xdr:row>
      <xdr:rowOff>142875</xdr:rowOff>
    </xdr:from>
    <xdr:to>
      <xdr:col>5</xdr:col>
      <xdr:colOff>0</xdr:colOff>
      <xdr:row>42</xdr:row>
      <xdr:rowOff>46555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5993BE7D-919E-41E1-ADD4-B7B499453AEF}"/>
            </a:ext>
          </a:extLst>
        </xdr:cNvPr>
        <xdr:cNvCxnSpPr/>
      </xdr:nvCxnSpPr>
      <xdr:spPr bwMode="auto">
        <a:xfrm flipV="1">
          <a:off x="2597690" y="7086600"/>
          <a:ext cx="1212310" cy="38945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0</xdr:col>
      <xdr:colOff>487059</xdr:colOff>
      <xdr:row>47</xdr:row>
      <xdr:rowOff>90433</xdr:rowOff>
    </xdr:from>
    <xdr:ext cx="2169065" cy="609013"/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8BF087B4-CCC9-4F7A-B976-0B46A25B6F8E}"/>
            </a:ext>
          </a:extLst>
        </xdr:cNvPr>
        <xdr:cNvSpPr txBox="1"/>
      </xdr:nvSpPr>
      <xdr:spPr>
        <a:xfrm>
          <a:off x="487059" y="8170630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vous propose un accès aux descriptifs et</a:t>
          </a:r>
          <a:r>
            <a:rPr lang="fr-FR" sz="1100" b="1" baseline="0"/>
            <a:t> informations de chaque produit</a:t>
          </a:r>
          <a:endParaRPr lang="fr-FR" sz="1100" b="1"/>
        </a:p>
      </xdr:txBody>
    </xdr:sp>
    <xdr:clientData/>
  </xdr:oneCellAnchor>
  <xdr:twoCellAnchor>
    <xdr:from>
      <xdr:col>3</xdr:col>
      <xdr:colOff>133457</xdr:colOff>
      <xdr:row>49</xdr:row>
      <xdr:rowOff>130996</xdr:rowOff>
    </xdr:from>
    <xdr:to>
      <xdr:col>4</xdr:col>
      <xdr:colOff>693292</xdr:colOff>
      <xdr:row>50</xdr:row>
      <xdr:rowOff>54795</xdr:rowOff>
    </xdr:to>
    <xdr:cxnSp macro="">
      <xdr:nvCxnSpPr>
        <xdr:cNvPr id="18" name="Connecteur droit avec flèche 17">
          <a:extLst>
            <a:ext uri="{FF2B5EF4-FFF2-40B4-BE49-F238E27FC236}">
              <a16:creationId xmlns:a16="http://schemas.microsoft.com/office/drawing/2014/main" id="{429C025B-CDD8-4967-929A-971364FD39CA}"/>
            </a:ext>
          </a:extLst>
        </xdr:cNvPr>
        <xdr:cNvCxnSpPr/>
      </xdr:nvCxnSpPr>
      <xdr:spPr bwMode="auto">
        <a:xfrm>
          <a:off x="2413036" y="8532260"/>
          <a:ext cx="1319694" cy="84333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14</xdr:col>
      <xdr:colOff>371475</xdr:colOff>
      <xdr:row>20</xdr:row>
      <xdr:rowOff>152400</xdr:rowOff>
    </xdr:from>
    <xdr:to>
      <xdr:col>15</xdr:col>
      <xdr:colOff>276225</xdr:colOff>
      <xdr:row>33</xdr:row>
      <xdr:rowOff>114300</xdr:rowOff>
    </xdr:to>
    <xdr:sp macro="" textlink="">
      <xdr:nvSpPr>
        <xdr:cNvPr id="22" name="Accolade fermante 21">
          <a:extLst>
            <a:ext uri="{FF2B5EF4-FFF2-40B4-BE49-F238E27FC236}">
              <a16:creationId xmlns:a16="http://schemas.microsoft.com/office/drawing/2014/main" id="{779C69B9-4053-8A8E-278D-BD3AE1445EDA}"/>
            </a:ext>
          </a:extLst>
        </xdr:cNvPr>
        <xdr:cNvSpPr/>
      </xdr:nvSpPr>
      <xdr:spPr bwMode="auto">
        <a:xfrm>
          <a:off x="11039475" y="4019550"/>
          <a:ext cx="666750" cy="2066925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409575</xdr:colOff>
      <xdr:row>34</xdr:row>
      <xdr:rowOff>142875</xdr:rowOff>
    </xdr:from>
    <xdr:to>
      <xdr:col>15</xdr:col>
      <xdr:colOff>314325</xdr:colOff>
      <xdr:row>39</xdr:row>
      <xdr:rowOff>142875</xdr:rowOff>
    </xdr:to>
    <xdr:sp macro="" textlink="">
      <xdr:nvSpPr>
        <xdr:cNvPr id="23" name="Accolade fermante 22">
          <a:extLst>
            <a:ext uri="{FF2B5EF4-FFF2-40B4-BE49-F238E27FC236}">
              <a16:creationId xmlns:a16="http://schemas.microsoft.com/office/drawing/2014/main" id="{FD2190E3-462C-437E-8AFB-F4D2EFEAFD54}"/>
            </a:ext>
          </a:extLst>
        </xdr:cNvPr>
        <xdr:cNvSpPr/>
      </xdr:nvSpPr>
      <xdr:spPr bwMode="auto">
        <a:xfrm>
          <a:off x="11077575" y="6276975"/>
          <a:ext cx="666750" cy="809625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285750</xdr:colOff>
      <xdr:row>24</xdr:row>
      <xdr:rowOff>66675</xdr:rowOff>
    </xdr:from>
    <xdr:ext cx="2169065" cy="1125693"/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F7497986-A633-4F71-B0FA-5CB7C3F4486B}"/>
            </a:ext>
          </a:extLst>
        </xdr:cNvPr>
        <xdr:cNvSpPr txBox="1"/>
      </xdr:nvSpPr>
      <xdr:spPr>
        <a:xfrm>
          <a:off x="11715750" y="4581525"/>
          <a:ext cx="2169065" cy="1125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zone des hypothèses de calcul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portées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charges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continuité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étaiement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choix</a:t>
          </a:r>
          <a:r>
            <a:rPr lang="fr-FR" sz="1100" b="1" baseline="0"/>
            <a:t> de jumelage</a:t>
          </a:r>
          <a:endParaRPr lang="fr-FR" sz="1100" b="1"/>
        </a:p>
      </xdr:txBody>
    </xdr:sp>
    <xdr:clientData/>
  </xdr:oneCellAnchor>
  <xdr:oneCellAnchor>
    <xdr:from>
      <xdr:col>15</xdr:col>
      <xdr:colOff>390525</xdr:colOff>
      <xdr:row>35</xdr:row>
      <xdr:rowOff>85725</xdr:rowOff>
    </xdr:from>
    <xdr:ext cx="2169065" cy="609013"/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966380D6-315B-41D7-9D53-1B6AB35FE103}"/>
            </a:ext>
          </a:extLst>
        </xdr:cNvPr>
        <xdr:cNvSpPr txBox="1"/>
      </xdr:nvSpPr>
      <xdr:spPr>
        <a:xfrm>
          <a:off x="11820525" y="6381750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préconisation</a:t>
          </a:r>
          <a:r>
            <a:rPr lang="fr-FR" sz="1100" b="1" baseline="0"/>
            <a:t> SEAC du plancher minimum pour répondre aux hypothèses du projet </a:t>
          </a:r>
        </a:p>
      </xdr:txBody>
    </xdr:sp>
    <xdr:clientData/>
  </xdr:oneCellAnchor>
  <xdr:twoCellAnchor>
    <xdr:from>
      <xdr:col>14</xdr:col>
      <xdr:colOff>409575</xdr:colOff>
      <xdr:row>40</xdr:row>
      <xdr:rowOff>114300</xdr:rowOff>
    </xdr:from>
    <xdr:to>
      <xdr:col>15</xdr:col>
      <xdr:colOff>314325</xdr:colOff>
      <xdr:row>52</xdr:row>
      <xdr:rowOff>0</xdr:rowOff>
    </xdr:to>
    <xdr:sp macro="" textlink="">
      <xdr:nvSpPr>
        <xdr:cNvPr id="26" name="Accolade fermante 25">
          <a:extLst>
            <a:ext uri="{FF2B5EF4-FFF2-40B4-BE49-F238E27FC236}">
              <a16:creationId xmlns:a16="http://schemas.microsoft.com/office/drawing/2014/main" id="{0A2ED8F2-32B7-473E-9E0E-F67D65D07FDB}"/>
            </a:ext>
          </a:extLst>
        </xdr:cNvPr>
        <xdr:cNvSpPr/>
      </xdr:nvSpPr>
      <xdr:spPr bwMode="auto">
        <a:xfrm>
          <a:off x="11077575" y="7219950"/>
          <a:ext cx="666750" cy="1828800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389348</xdr:colOff>
      <xdr:row>41</xdr:row>
      <xdr:rowOff>15626</xdr:rowOff>
    </xdr:from>
    <xdr:ext cx="2169065" cy="1297919"/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FA05A546-E664-4208-B8C4-DC7D3740F020}"/>
            </a:ext>
          </a:extLst>
        </xdr:cNvPr>
        <xdr:cNvSpPr txBox="1"/>
      </xdr:nvSpPr>
      <xdr:spPr>
        <a:xfrm>
          <a:off x="11787241" y="7132620"/>
          <a:ext cx="2169065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en cochant l'option "portée</a:t>
          </a:r>
          <a:r>
            <a:rPr lang="fr-FR" sz="1100" b="1" baseline="0"/>
            <a:t> maxi d'un montage",</a:t>
          </a:r>
        </a:p>
        <a:p>
          <a:r>
            <a:rPr lang="fr-FR" sz="1100" b="1" baseline="0"/>
            <a:t> l'outil vous permettra de choisir votre configuration de plancher et d'en obtenir la portée maximale pour les hypothèses </a:t>
          </a:r>
        </a:p>
        <a:p>
          <a:r>
            <a:rPr lang="fr-FR" sz="1100" b="1" baseline="0"/>
            <a:t>renseignées au dessus </a:t>
          </a:r>
        </a:p>
      </xdr:txBody>
    </xdr:sp>
    <xdr:clientData/>
  </xdr:oneCellAnchor>
  <xdr:oneCellAnchor>
    <xdr:from>
      <xdr:col>0</xdr:col>
      <xdr:colOff>194031</xdr:colOff>
      <xdr:row>52</xdr:row>
      <xdr:rowOff>123718</xdr:rowOff>
    </xdr:from>
    <xdr:ext cx="2169065" cy="609013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9B83202A-9863-4F90-B6E3-EB62DB230380}"/>
            </a:ext>
          </a:extLst>
        </xdr:cNvPr>
        <xdr:cNvSpPr txBox="1"/>
      </xdr:nvSpPr>
      <xdr:spPr>
        <a:xfrm>
          <a:off x="194031" y="9006583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envoi</a:t>
          </a:r>
          <a:r>
            <a:rPr lang="fr-FR" sz="1100" b="1" baseline="0"/>
            <a:t> un mail au be seac pour une demande de dimensionnement spécifique</a:t>
          </a:r>
          <a:endParaRPr lang="fr-FR" sz="1100" b="1"/>
        </a:p>
      </xdr:txBody>
    </xdr:sp>
    <xdr:clientData/>
  </xdr:oneCellAnchor>
  <xdr:twoCellAnchor>
    <xdr:from>
      <xdr:col>13</xdr:col>
      <xdr:colOff>514350</xdr:colOff>
      <xdr:row>53</xdr:row>
      <xdr:rowOff>114300</xdr:rowOff>
    </xdr:from>
    <xdr:to>
      <xdr:col>15</xdr:col>
      <xdr:colOff>238125</xdr:colOff>
      <xdr:row>53</xdr:row>
      <xdr:rowOff>133350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54E37BE8-6C42-480E-AAA0-407B5E7A0602}"/>
            </a:ext>
          </a:extLst>
        </xdr:cNvPr>
        <xdr:cNvCxnSpPr/>
      </xdr:nvCxnSpPr>
      <xdr:spPr bwMode="auto">
        <a:xfrm flipH="1">
          <a:off x="10420350" y="9324975"/>
          <a:ext cx="1247775" cy="190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 editAs="oneCell">
    <xdr:from>
      <xdr:col>0</xdr:col>
      <xdr:colOff>226219</xdr:colOff>
      <xdr:row>1</xdr:row>
      <xdr:rowOff>47625</xdr:rowOff>
    </xdr:from>
    <xdr:to>
      <xdr:col>2</xdr:col>
      <xdr:colOff>193941</xdr:colOff>
      <xdr:row>3</xdr:row>
      <xdr:rowOff>233490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49FFA11-BA1F-44A0-A7C1-6ED0A2780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214313"/>
          <a:ext cx="1491722" cy="51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724650</xdr:colOff>
      <xdr:row>54</xdr:row>
      <xdr:rowOff>0</xdr:rowOff>
    </xdr:from>
    <xdr:to>
      <xdr:col>4</xdr:col>
      <xdr:colOff>503006</xdr:colOff>
      <xdr:row>54</xdr:row>
      <xdr:rowOff>37244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7666EE4E-9A7A-4523-A64D-8C113A62E6F1}"/>
            </a:ext>
          </a:extLst>
        </xdr:cNvPr>
        <xdr:cNvCxnSpPr/>
      </xdr:nvCxnSpPr>
      <xdr:spPr bwMode="auto">
        <a:xfrm flipV="1">
          <a:off x="2244369" y="9203933"/>
          <a:ext cx="1298075" cy="37244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15</xdr:col>
      <xdr:colOff>283503</xdr:colOff>
      <xdr:row>51</xdr:row>
      <xdr:rowOff>110233</xdr:rowOff>
    </xdr:from>
    <xdr:ext cx="2169065" cy="436786"/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854CD604-018F-4BB1-BF81-FE6D15BADD05}"/>
            </a:ext>
          </a:extLst>
        </xdr:cNvPr>
        <xdr:cNvSpPr txBox="1"/>
      </xdr:nvSpPr>
      <xdr:spPr>
        <a:xfrm>
          <a:off x="11681396" y="8832564"/>
          <a:ext cx="216906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renvoi</a:t>
          </a:r>
          <a:r>
            <a:rPr lang="fr-FR" sz="1100" b="1" baseline="0"/>
            <a:t> vers le détail du calcul</a:t>
          </a:r>
        </a:p>
        <a:p>
          <a:r>
            <a:rPr lang="fr-FR" sz="1100" b="1" baseline="0"/>
            <a:t>et des FDES utilisées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396198</xdr:colOff>
      <xdr:row>2</xdr:row>
      <xdr:rowOff>121735</xdr:rowOff>
    </xdr:from>
    <xdr:ext cx="3055709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FF43055-EC96-0B5B-B709-E2E76F85D475}"/>
            </a:ext>
          </a:extLst>
        </xdr:cNvPr>
        <xdr:cNvSpPr/>
      </xdr:nvSpPr>
      <xdr:spPr>
        <a:xfrm>
          <a:off x="8301948" y="445585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28</xdr:col>
      <xdr:colOff>329523</xdr:colOff>
      <xdr:row>2</xdr:row>
      <xdr:rowOff>140785</xdr:rowOff>
    </xdr:from>
    <xdr:ext cx="3055709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C2E0D0A-A4A7-424E-A81D-6BAFD2B52CB0}"/>
            </a:ext>
          </a:extLst>
        </xdr:cNvPr>
        <xdr:cNvSpPr/>
      </xdr:nvSpPr>
      <xdr:spPr>
        <a:xfrm>
          <a:off x="17455473" y="464635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43</xdr:col>
      <xdr:colOff>234273</xdr:colOff>
      <xdr:row>2</xdr:row>
      <xdr:rowOff>74110</xdr:rowOff>
    </xdr:from>
    <xdr:ext cx="3055709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C7C1A4F-A191-43EA-ACC1-B2548899A18D}"/>
            </a:ext>
          </a:extLst>
        </xdr:cNvPr>
        <xdr:cNvSpPr/>
      </xdr:nvSpPr>
      <xdr:spPr>
        <a:xfrm>
          <a:off x="25570773" y="397960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165604</xdr:colOff>
      <xdr:row>8</xdr:row>
      <xdr:rowOff>27314</xdr:rowOff>
    </xdr:from>
    <xdr:ext cx="12176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4DF1658-E34D-F28A-4F94-1300BF767FBE}"/>
            </a:ext>
          </a:extLst>
        </xdr:cNvPr>
        <xdr:cNvSpPr/>
      </xdr:nvSpPr>
      <xdr:spPr>
        <a:xfrm>
          <a:off x="3975604" y="1352531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36</xdr:col>
      <xdr:colOff>734205</xdr:colOff>
      <xdr:row>1</xdr:row>
      <xdr:rowOff>121735</xdr:rowOff>
    </xdr:from>
    <xdr:ext cx="121764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ED4ECC7-30B1-4AA5-B6B2-E0162E3A28E4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21</xdr:col>
      <xdr:colOff>485775</xdr:colOff>
      <xdr:row>43</xdr:row>
      <xdr:rowOff>66675</xdr:rowOff>
    </xdr:from>
    <xdr:ext cx="121764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B025884E-DA53-4EF3-BD50-51EE03035773}"/>
            </a:ext>
          </a:extLst>
        </xdr:cNvPr>
        <xdr:cNvSpPr/>
      </xdr:nvSpPr>
      <xdr:spPr>
        <a:xfrm>
          <a:off x="13515975" y="589597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361576</xdr:colOff>
      <xdr:row>94</xdr:row>
      <xdr:rowOff>204648</xdr:rowOff>
    </xdr:from>
    <xdr:ext cx="121764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B51DE4D5-4CFA-4E0D-AC70-529BD3D80A37}"/>
            </a:ext>
          </a:extLst>
        </xdr:cNvPr>
        <xdr:cNvSpPr/>
      </xdr:nvSpPr>
      <xdr:spPr>
        <a:xfrm>
          <a:off x="22675873" y="14125039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7374</xdr:colOff>
      <xdr:row>1</xdr:row>
      <xdr:rowOff>122468</xdr:rowOff>
    </xdr:from>
    <xdr:ext cx="121764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DFCFCEB-43AD-46C0-BB4F-5389F5CAB451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62</xdr:col>
      <xdr:colOff>297199</xdr:colOff>
      <xdr:row>94</xdr:row>
      <xdr:rowOff>152009</xdr:rowOff>
    </xdr:from>
    <xdr:ext cx="121764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03A178-84DD-44CB-B976-1DF61F9E7535}"/>
            </a:ext>
          </a:extLst>
        </xdr:cNvPr>
        <xdr:cNvSpPr/>
      </xdr:nvSpPr>
      <xdr:spPr>
        <a:xfrm>
          <a:off x="36359677" y="15971792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667485</xdr:colOff>
      <xdr:row>0</xdr:row>
      <xdr:rowOff>159835</xdr:rowOff>
    </xdr:from>
    <xdr:ext cx="2284536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1173E37-2287-4816-BE84-66BEB29CF7B5}"/>
            </a:ext>
          </a:extLst>
        </xdr:cNvPr>
        <xdr:cNvSpPr/>
      </xdr:nvSpPr>
      <xdr:spPr>
        <a:xfrm>
          <a:off x="5239485" y="159835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14</xdr:col>
      <xdr:colOff>4765</xdr:colOff>
      <xdr:row>51</xdr:row>
      <xdr:rowOff>57624</xdr:rowOff>
    </xdr:from>
    <xdr:ext cx="2284536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D0101458-7A2A-4EC2-9132-63824A2F28B6}"/>
            </a:ext>
          </a:extLst>
        </xdr:cNvPr>
        <xdr:cNvSpPr/>
      </xdr:nvSpPr>
      <xdr:spPr>
        <a:xfrm>
          <a:off x="8928957" y="7809509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25</xdr:col>
      <xdr:colOff>615097</xdr:colOff>
      <xdr:row>0</xdr:row>
      <xdr:rowOff>131259</xdr:rowOff>
    </xdr:from>
    <xdr:ext cx="2284536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46D9BE7-F4BE-4097-A626-62085D3C33BA}"/>
            </a:ext>
          </a:extLst>
        </xdr:cNvPr>
        <xdr:cNvSpPr/>
      </xdr:nvSpPr>
      <xdr:spPr>
        <a:xfrm>
          <a:off x="15855097" y="131259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42</xdr:col>
      <xdr:colOff>410310</xdr:colOff>
      <xdr:row>1</xdr:row>
      <xdr:rowOff>45534</xdr:rowOff>
    </xdr:from>
    <xdr:ext cx="2284536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1602CB6-6252-48A9-A46B-BEA040D46195}"/>
            </a:ext>
          </a:extLst>
        </xdr:cNvPr>
        <xdr:cNvSpPr/>
      </xdr:nvSpPr>
      <xdr:spPr>
        <a:xfrm>
          <a:off x="25508685" y="212222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36</xdr:col>
      <xdr:colOff>86460</xdr:colOff>
      <xdr:row>52</xdr:row>
      <xdr:rowOff>55059</xdr:rowOff>
    </xdr:from>
    <xdr:ext cx="2284536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F02A216-9BBF-44D2-A33F-4D9A57016EB7}"/>
            </a:ext>
          </a:extLst>
        </xdr:cNvPr>
        <xdr:cNvSpPr/>
      </xdr:nvSpPr>
      <xdr:spPr>
        <a:xfrm>
          <a:off x="21803460" y="8198934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620484</xdr:colOff>
      <xdr:row>0</xdr:row>
      <xdr:rowOff>159835</xdr:rowOff>
    </xdr:from>
    <xdr:ext cx="2378536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289947-9937-4D7F-8A92-39625FCFB1CB}"/>
            </a:ext>
          </a:extLst>
        </xdr:cNvPr>
        <xdr:cNvSpPr/>
      </xdr:nvSpPr>
      <xdr:spPr>
        <a:xfrm>
          <a:off x="5192484" y="15983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24</xdr:col>
      <xdr:colOff>191859</xdr:colOff>
      <xdr:row>46</xdr:row>
      <xdr:rowOff>26485</xdr:rowOff>
    </xdr:from>
    <xdr:ext cx="2378536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F01608CF-6761-4D88-A173-F1C419AF278C}"/>
            </a:ext>
          </a:extLst>
        </xdr:cNvPr>
        <xdr:cNvSpPr/>
      </xdr:nvSpPr>
      <xdr:spPr>
        <a:xfrm>
          <a:off x="14765109" y="691306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32</xdr:col>
      <xdr:colOff>200025</xdr:colOff>
      <xdr:row>2</xdr:row>
      <xdr:rowOff>38100</xdr:rowOff>
    </xdr:from>
    <xdr:ext cx="2378536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6AA22730-1A60-4D2D-8BC2-0EA2A54AA35C}"/>
            </a:ext>
          </a:extLst>
        </xdr:cNvPr>
        <xdr:cNvSpPr/>
      </xdr:nvSpPr>
      <xdr:spPr>
        <a:xfrm>
          <a:off x="19383375" y="36195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2378536" cy="937629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7DE3F9F-408D-4125-B236-7B89EBD4AEF0}"/>
            </a:ext>
          </a:extLst>
        </xdr:cNvPr>
        <xdr:cNvSpPr/>
      </xdr:nvSpPr>
      <xdr:spPr>
        <a:xfrm>
          <a:off x="30460950" y="48577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54</xdr:col>
      <xdr:colOff>104775</xdr:colOff>
      <xdr:row>46</xdr:row>
      <xdr:rowOff>142875</xdr:rowOff>
    </xdr:from>
    <xdr:ext cx="2378536" cy="93762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62E6AE35-B4DD-40F0-A10D-2C89D04B4CB3}"/>
            </a:ext>
          </a:extLst>
        </xdr:cNvPr>
        <xdr:cNvSpPr/>
      </xdr:nvSpPr>
      <xdr:spPr>
        <a:xfrm>
          <a:off x="31594425" y="702945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54</xdr:col>
      <xdr:colOff>117199</xdr:colOff>
      <xdr:row>55</xdr:row>
      <xdr:rowOff>0</xdr:rowOff>
    </xdr:from>
    <xdr:ext cx="2378536" cy="937629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4C3C8A9E-020A-4883-AB6F-BB4E50B2E24C}"/>
            </a:ext>
          </a:extLst>
        </xdr:cNvPr>
        <xdr:cNvSpPr/>
      </xdr:nvSpPr>
      <xdr:spPr>
        <a:xfrm>
          <a:off x="31574547" y="14438657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32</xdr:col>
      <xdr:colOff>66675</xdr:colOff>
      <xdr:row>55</xdr:row>
      <xdr:rowOff>0</xdr:rowOff>
    </xdr:from>
    <xdr:ext cx="2378536" cy="937629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E534C36-054C-4074-B26D-0C4F20B3FEB7}"/>
            </a:ext>
          </a:extLst>
        </xdr:cNvPr>
        <xdr:cNvSpPr/>
      </xdr:nvSpPr>
      <xdr:spPr>
        <a:xfrm>
          <a:off x="19250025" y="1473517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438930</xdr:colOff>
      <xdr:row>0</xdr:row>
      <xdr:rowOff>159835</xdr:rowOff>
    </xdr:from>
    <xdr:ext cx="12176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0F72AD8-9459-4859-B3F5-986D77ED2DAB}"/>
            </a:ext>
          </a:extLst>
        </xdr:cNvPr>
        <xdr:cNvSpPr/>
      </xdr:nvSpPr>
      <xdr:spPr>
        <a:xfrm>
          <a:off x="5772930" y="15983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36</xdr:col>
      <xdr:colOff>734205</xdr:colOff>
      <xdr:row>1</xdr:row>
      <xdr:rowOff>121735</xdr:rowOff>
    </xdr:from>
    <xdr:ext cx="121764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EE7B6BF-1F89-413A-A219-43CBDCDE8557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21</xdr:col>
      <xdr:colOff>485775</xdr:colOff>
      <xdr:row>43</xdr:row>
      <xdr:rowOff>66675</xdr:rowOff>
    </xdr:from>
    <xdr:ext cx="121764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047B2B4-3790-4339-901F-9B6907B0B9C1}"/>
            </a:ext>
          </a:extLst>
        </xdr:cNvPr>
        <xdr:cNvSpPr/>
      </xdr:nvSpPr>
      <xdr:spPr>
        <a:xfrm>
          <a:off x="13515975" y="646747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39</xdr:col>
      <xdr:colOff>440951</xdr:colOff>
      <xdr:row>96</xdr:row>
      <xdr:rowOff>145117</xdr:rowOff>
    </xdr:from>
    <xdr:ext cx="121764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242C013-0F93-4FF5-BD18-5727234C1553}"/>
            </a:ext>
          </a:extLst>
        </xdr:cNvPr>
        <xdr:cNvSpPr/>
      </xdr:nvSpPr>
      <xdr:spPr>
        <a:xfrm>
          <a:off x="23720051" y="14737417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7374</xdr:colOff>
      <xdr:row>1</xdr:row>
      <xdr:rowOff>122468</xdr:rowOff>
    </xdr:from>
    <xdr:ext cx="121764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BA43E6C1-B8F4-41AC-9FA0-B78D2A8DD4B2}"/>
            </a:ext>
          </a:extLst>
        </xdr:cNvPr>
        <xdr:cNvSpPr/>
      </xdr:nvSpPr>
      <xdr:spPr>
        <a:xfrm>
          <a:off x="22257774" y="284393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59</xdr:col>
      <xdr:colOff>504264</xdr:colOff>
      <xdr:row>97</xdr:row>
      <xdr:rowOff>11205</xdr:rowOff>
    </xdr:from>
    <xdr:ext cx="121764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71B0699F-9CBA-4C11-B8D4-A8A108CD33B3}"/>
            </a:ext>
          </a:extLst>
        </xdr:cNvPr>
        <xdr:cNvSpPr/>
      </xdr:nvSpPr>
      <xdr:spPr>
        <a:xfrm>
          <a:off x="35060964" y="1476543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692401</xdr:colOff>
      <xdr:row>6</xdr:row>
      <xdr:rowOff>36839</xdr:rowOff>
    </xdr:from>
    <xdr:ext cx="2583400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919C8D-1585-4D2C-8778-AE9C7FF05295}"/>
            </a:ext>
          </a:extLst>
        </xdr:cNvPr>
        <xdr:cNvSpPr/>
      </xdr:nvSpPr>
      <xdr:spPr>
        <a:xfrm>
          <a:off x="2978401" y="1008389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14</xdr:col>
      <xdr:colOff>73276</xdr:colOff>
      <xdr:row>44</xdr:row>
      <xdr:rowOff>46364</xdr:rowOff>
    </xdr:from>
    <xdr:ext cx="2583400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D9CAE9A-407A-4F00-91F9-8571D41FAF4B}"/>
            </a:ext>
          </a:extLst>
        </xdr:cNvPr>
        <xdr:cNvSpPr/>
      </xdr:nvSpPr>
      <xdr:spPr>
        <a:xfrm>
          <a:off x="9007726" y="7256789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42</xdr:col>
      <xdr:colOff>0</xdr:colOff>
      <xdr:row>3</xdr:row>
      <xdr:rowOff>152400</xdr:rowOff>
    </xdr:from>
    <xdr:ext cx="2583400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D6A17C47-771C-442E-9BD1-A1E0C154DE97}"/>
            </a:ext>
          </a:extLst>
        </xdr:cNvPr>
        <xdr:cNvSpPr/>
      </xdr:nvSpPr>
      <xdr:spPr>
        <a:xfrm>
          <a:off x="24822150" y="638175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43</xdr:col>
      <xdr:colOff>123825</xdr:colOff>
      <xdr:row>45</xdr:row>
      <xdr:rowOff>123825</xdr:rowOff>
    </xdr:from>
    <xdr:ext cx="2583400" cy="937629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86DCA536-ABF2-4A2A-8151-F80D186D9147}"/>
            </a:ext>
          </a:extLst>
        </xdr:cNvPr>
        <xdr:cNvSpPr/>
      </xdr:nvSpPr>
      <xdr:spPr>
        <a:xfrm>
          <a:off x="25460325" y="7496175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44</xdr:col>
      <xdr:colOff>238125</xdr:colOff>
      <xdr:row>92</xdr:row>
      <xdr:rowOff>38100</xdr:rowOff>
    </xdr:from>
    <xdr:ext cx="2583400" cy="93762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25A1FA1F-C5FC-434C-9662-B8143C1EC6FE}"/>
            </a:ext>
          </a:extLst>
        </xdr:cNvPr>
        <xdr:cNvSpPr/>
      </xdr:nvSpPr>
      <xdr:spPr>
        <a:xfrm>
          <a:off x="26088975" y="15192375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  <xdr:oneCellAnchor>
    <xdr:from>
      <xdr:col>0</xdr:col>
      <xdr:colOff>476250</xdr:colOff>
      <xdr:row>89</xdr:row>
      <xdr:rowOff>0</xdr:rowOff>
    </xdr:from>
    <xdr:ext cx="2583400" cy="937629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7EDFA583-49C2-4122-AA31-E5439C2D2020}"/>
            </a:ext>
          </a:extLst>
        </xdr:cNvPr>
        <xdr:cNvSpPr/>
      </xdr:nvSpPr>
      <xdr:spPr>
        <a:xfrm>
          <a:off x="476250" y="14668500"/>
          <a:ext cx="258340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seacbois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image" Target="../media/image1.jpeg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0B40B-1FBC-44D4-A806-66C6210AD27D}">
  <sheetPr codeName="Feuil1">
    <pageSetUpPr fitToPage="1"/>
  </sheetPr>
  <dimension ref="G1:AO52"/>
  <sheetViews>
    <sheetView showGridLines="0" showRowColHeaders="0" tabSelected="1" topLeftCell="B1" zoomScaleNormal="100" workbookViewId="0">
      <selection activeCell="S19" sqref="S19"/>
    </sheetView>
  </sheetViews>
  <sheetFormatPr baseColWidth="10" defaultRowHeight="12.75" x14ac:dyDescent="0.2"/>
  <cols>
    <col min="6" max="6" width="1.7109375" customWidth="1"/>
    <col min="8" max="8" width="14.7109375" customWidth="1"/>
    <col min="9" max="9" width="12.7109375" customWidth="1"/>
    <col min="10" max="10" width="13.42578125" customWidth="1"/>
    <col min="11" max="11" width="4.140625" customWidth="1"/>
    <col min="12" max="12" width="10.28515625" customWidth="1"/>
    <col min="18" max="18" width="3.42578125" customWidth="1"/>
    <col min="19" max="19" width="15" style="49" bestFit="1" customWidth="1"/>
    <col min="22" max="26" width="11.42578125" customWidth="1"/>
    <col min="27" max="41" width="11.42578125" hidden="1" customWidth="1"/>
    <col min="42" max="45" width="0" hidden="1" customWidth="1"/>
  </cols>
  <sheetData>
    <row r="1" spans="7:41" ht="13.5" thickBot="1" x14ac:dyDescent="0.25"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6"/>
      <c r="T1" s="105"/>
      <c r="U1" s="105"/>
    </row>
    <row r="2" spans="7:41" ht="13.5" thickTop="1" x14ac:dyDescent="0.2">
      <c r="G2" s="52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4"/>
      <c r="T2" s="53"/>
      <c r="U2" s="55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7:41" x14ac:dyDescent="0.2">
      <c r="G3" s="56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8"/>
      <c r="T3" s="57"/>
      <c r="U3" s="59"/>
      <c r="AB3" s="107"/>
      <c r="AC3" s="107"/>
      <c r="AD3" s="107"/>
      <c r="AE3" s="107"/>
      <c r="AF3" s="108"/>
      <c r="AG3" s="108"/>
      <c r="AH3" s="108"/>
      <c r="AI3" s="108"/>
      <c r="AJ3" s="108"/>
      <c r="AK3" s="108"/>
      <c r="AL3" s="107"/>
    </row>
    <row r="4" spans="7:41" x14ac:dyDescent="0.2">
      <c r="G4" s="56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8"/>
      <c r="T4" s="57"/>
      <c r="U4" s="59"/>
      <c r="AB4" s="107"/>
      <c r="AC4" s="107"/>
      <c r="AD4" s="107"/>
      <c r="AE4" s="107"/>
      <c r="AF4" s="107" t="str">
        <f>+HLOOKUP(AC22,AF6:AL7,2,FALSE)</f>
        <v>EBS</v>
      </c>
      <c r="AG4" s="108"/>
      <c r="AH4" s="108"/>
      <c r="AI4" s="108"/>
      <c r="AJ4" s="108"/>
      <c r="AK4" s="108"/>
      <c r="AL4" s="107"/>
    </row>
    <row r="5" spans="7:41" x14ac:dyDescent="0.2">
      <c r="G5" s="56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8"/>
      <c r="T5" s="57"/>
      <c r="U5" s="59"/>
      <c r="AB5" s="107"/>
      <c r="AC5" s="107"/>
      <c r="AD5" s="107"/>
      <c r="AE5" s="107"/>
      <c r="AF5" s="108"/>
      <c r="AG5" s="108"/>
      <c r="AH5" s="108"/>
      <c r="AI5" s="108"/>
      <c r="AJ5" s="108"/>
      <c r="AK5" s="108"/>
      <c r="AL5" s="107"/>
    </row>
    <row r="6" spans="7:41" x14ac:dyDescent="0.2">
      <c r="G6" s="56"/>
      <c r="H6" s="57" t="s">
        <v>130</v>
      </c>
      <c r="I6" s="57"/>
      <c r="J6" s="57"/>
      <c r="K6" s="57"/>
      <c r="L6" s="57"/>
      <c r="M6" s="57"/>
      <c r="N6" s="57"/>
      <c r="O6" s="57"/>
      <c r="P6" s="57"/>
      <c r="Q6" s="57"/>
      <c r="R6" s="57"/>
      <c r="S6" s="58"/>
      <c r="T6" s="57"/>
      <c r="U6" s="59"/>
      <c r="AB6" s="107"/>
      <c r="AC6" s="107"/>
      <c r="AD6" s="107"/>
      <c r="AE6" s="107"/>
      <c r="AF6" s="108">
        <v>1</v>
      </c>
      <c r="AG6" s="108">
        <v>2</v>
      </c>
      <c r="AH6" s="108">
        <v>3</v>
      </c>
      <c r="AI6" s="108">
        <v>4</v>
      </c>
      <c r="AJ6" s="108">
        <v>5</v>
      </c>
      <c r="AK6" s="108">
        <v>6</v>
      </c>
      <c r="AL6" s="107">
        <v>7</v>
      </c>
    </row>
    <row r="7" spans="7:41" x14ac:dyDescent="0.2">
      <c r="G7" s="56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8"/>
      <c r="T7" s="57"/>
      <c r="U7" s="59"/>
      <c r="AB7" s="107"/>
      <c r="AC7" s="107"/>
      <c r="AD7" s="107"/>
      <c r="AE7" s="107"/>
      <c r="AF7" s="107" t="s">
        <v>23</v>
      </c>
      <c r="AG7" s="107" t="s">
        <v>19</v>
      </c>
      <c r="AH7" s="107" t="s">
        <v>21</v>
      </c>
      <c r="AI7" s="107" t="s">
        <v>29</v>
      </c>
      <c r="AJ7" s="107" t="s">
        <v>19</v>
      </c>
      <c r="AK7" s="107" t="s">
        <v>55</v>
      </c>
      <c r="AL7" s="107" t="s">
        <v>321</v>
      </c>
      <c r="AO7">
        <v>11</v>
      </c>
    </row>
    <row r="8" spans="7:41" x14ac:dyDescent="0.2">
      <c r="G8" s="56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8"/>
      <c r="T8" s="57"/>
      <c r="U8" s="59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O8">
        <v>15</v>
      </c>
    </row>
    <row r="9" spans="7:41" ht="19.5" thickBot="1" x14ac:dyDescent="0.35">
      <c r="G9" s="56"/>
      <c r="H9" s="57"/>
      <c r="I9" s="60" t="s">
        <v>54</v>
      </c>
      <c r="J9" s="61"/>
      <c r="K9" s="57"/>
      <c r="L9" s="57"/>
      <c r="M9" s="57"/>
      <c r="N9" s="57"/>
      <c r="O9" s="57"/>
      <c r="P9" s="57"/>
      <c r="Q9" s="57"/>
      <c r="R9" s="57"/>
      <c r="S9" s="58"/>
      <c r="T9" s="57"/>
      <c r="U9" s="59"/>
      <c r="AB9" s="109" t="s">
        <v>20</v>
      </c>
      <c r="AC9" s="107" t="s">
        <v>90</v>
      </c>
      <c r="AD9" s="107"/>
      <c r="AE9" s="107"/>
      <c r="AF9" s="107">
        <v>12</v>
      </c>
      <c r="AG9" s="107">
        <v>12</v>
      </c>
      <c r="AH9" s="107">
        <v>12</v>
      </c>
      <c r="AI9" s="107" t="s">
        <v>56</v>
      </c>
      <c r="AJ9" s="107">
        <v>12</v>
      </c>
      <c r="AK9" s="107" t="s">
        <v>59</v>
      </c>
      <c r="AL9" s="107">
        <v>12</v>
      </c>
      <c r="AO9">
        <v>19</v>
      </c>
    </row>
    <row r="10" spans="7:41" ht="16.5" customHeight="1" thickTop="1" x14ac:dyDescent="0.25">
      <c r="G10" s="56"/>
      <c r="H10" s="57"/>
      <c r="I10" s="62"/>
      <c r="J10" s="57"/>
      <c r="K10" s="57"/>
      <c r="L10" s="57"/>
      <c r="M10" s="57"/>
      <c r="N10" s="57"/>
      <c r="O10" s="57"/>
      <c r="P10" s="57"/>
      <c r="Q10" s="63" t="s">
        <v>17</v>
      </c>
      <c r="R10" s="64"/>
      <c r="S10" s="50">
        <v>5</v>
      </c>
      <c r="T10" s="57" t="s">
        <v>62</v>
      </c>
      <c r="U10" s="59"/>
      <c r="AB10" s="107"/>
      <c r="AC10" s="107" t="s">
        <v>91</v>
      </c>
      <c r="AD10" s="107"/>
      <c r="AE10" s="107"/>
      <c r="AF10" s="107">
        <v>15</v>
      </c>
      <c r="AG10" s="107">
        <v>15</v>
      </c>
      <c r="AH10" s="107">
        <v>15</v>
      </c>
      <c r="AI10" s="107" t="s">
        <v>57</v>
      </c>
      <c r="AJ10" s="107">
        <v>15</v>
      </c>
      <c r="AK10" s="107">
        <v>15</v>
      </c>
      <c r="AL10" s="107">
        <v>15</v>
      </c>
      <c r="AO10">
        <v>23</v>
      </c>
    </row>
    <row r="11" spans="7:41" ht="5.0999999999999996" customHeight="1" thickBot="1" x14ac:dyDescent="0.25">
      <c r="G11" s="56"/>
      <c r="H11" s="57"/>
      <c r="I11" s="57"/>
      <c r="J11" s="57"/>
      <c r="K11" s="57"/>
      <c r="L11" s="57"/>
      <c r="M11" s="57"/>
      <c r="N11" s="57"/>
      <c r="O11" s="57"/>
      <c r="P11" s="57"/>
      <c r="Q11" s="63"/>
      <c r="R11" s="64"/>
      <c r="S11" s="57"/>
      <c r="T11" s="57"/>
      <c r="U11" s="59"/>
      <c r="AB11" s="107"/>
      <c r="AC11" s="107"/>
      <c r="AD11" s="107"/>
      <c r="AE11" s="107"/>
      <c r="AF11" s="107">
        <v>20</v>
      </c>
      <c r="AG11" s="107">
        <v>20</v>
      </c>
      <c r="AH11" s="107" t="s">
        <v>59</v>
      </c>
      <c r="AI11" s="107" t="s">
        <v>58</v>
      </c>
      <c r="AJ11" s="107">
        <v>20</v>
      </c>
      <c r="AK11" s="110" t="s">
        <v>60</v>
      </c>
      <c r="AL11" s="107">
        <v>20</v>
      </c>
      <c r="AO11">
        <v>27</v>
      </c>
    </row>
    <row r="12" spans="7:41" ht="16.5" customHeight="1" thickTop="1" x14ac:dyDescent="0.2"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63" t="s">
        <v>18</v>
      </c>
      <c r="R12" s="64"/>
      <c r="S12" s="51">
        <v>250</v>
      </c>
      <c r="T12" s="57" t="str">
        <f>+IF(S12&gt;500,"charge max 500kg/m²","kg/m²")</f>
        <v>kg/m²</v>
      </c>
      <c r="U12" s="59"/>
      <c r="AB12" s="109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O12">
        <v>30</v>
      </c>
    </row>
    <row r="13" spans="7:41" ht="5.0999999999999996" customHeight="1" thickBot="1" x14ac:dyDescent="0.25">
      <c r="G13" s="56"/>
      <c r="H13" s="57"/>
      <c r="I13" s="57"/>
      <c r="J13" s="57"/>
      <c r="K13" s="57"/>
      <c r="L13" s="57"/>
      <c r="M13" s="57"/>
      <c r="N13" s="57"/>
      <c r="O13" s="57"/>
      <c r="P13" s="57"/>
      <c r="Q13" s="65"/>
      <c r="R13" s="57"/>
      <c r="S13" s="57"/>
      <c r="T13" s="57"/>
      <c r="U13" s="59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O13">
        <v>30</v>
      </c>
    </row>
    <row r="14" spans="7:41" ht="16.5" customHeight="1" thickTop="1" x14ac:dyDescent="0.2">
      <c r="G14" s="56"/>
      <c r="H14" s="57"/>
      <c r="I14" s="57"/>
      <c r="J14" s="57"/>
      <c r="K14" s="57"/>
      <c r="L14" s="57"/>
      <c r="M14" s="57"/>
      <c r="N14" s="57"/>
      <c r="O14" s="57"/>
      <c r="P14" s="64"/>
      <c r="Q14" s="63" t="s">
        <v>31</v>
      </c>
      <c r="R14" s="57"/>
      <c r="S14" s="51">
        <v>250</v>
      </c>
      <c r="T14" s="57" t="s">
        <v>63</v>
      </c>
      <c r="U14" s="59"/>
      <c r="AB14" s="107"/>
      <c r="AC14" s="107"/>
      <c r="AD14" s="107"/>
      <c r="AE14" s="107">
        <v>30</v>
      </c>
      <c r="AF14" s="129" t="s">
        <v>322</v>
      </c>
      <c r="AG14" s="107"/>
      <c r="AH14" s="107" t="s">
        <v>30</v>
      </c>
      <c r="AI14" s="107"/>
      <c r="AJ14" s="107"/>
      <c r="AK14" s="107"/>
      <c r="AL14" s="107"/>
    </row>
    <row r="15" spans="7:41" x14ac:dyDescent="0.2">
      <c r="G15" s="56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8"/>
      <c r="T15" s="57"/>
      <c r="U15" s="59"/>
      <c r="AB15" s="109" t="s">
        <v>22</v>
      </c>
      <c r="AC15" s="107">
        <v>2</v>
      </c>
      <c r="AD15" s="107" t="str">
        <f>+IF(AC15=1,"AL","1C")</f>
        <v>1C</v>
      </c>
      <c r="AE15" s="107">
        <f>+IF(AC22&gt;6,"",60)</f>
        <v>60</v>
      </c>
      <c r="AF15" s="129">
        <f>+HLOOKUP(AF4,AF7:AL10,3,FALSE)</f>
        <v>12</v>
      </c>
      <c r="AG15" s="107"/>
      <c r="AH15" s="107">
        <v>5</v>
      </c>
      <c r="AI15" s="107"/>
      <c r="AJ15" s="107"/>
      <c r="AK15" s="107"/>
      <c r="AL15" s="107"/>
    </row>
    <row r="16" spans="7:41" x14ac:dyDescent="0.2">
      <c r="G16" s="56"/>
      <c r="H16" s="66" t="s">
        <v>23</v>
      </c>
      <c r="I16" s="66" t="s">
        <v>19</v>
      </c>
      <c r="J16" s="63" t="s">
        <v>21</v>
      </c>
      <c r="K16" s="57"/>
      <c r="L16" s="63" t="s">
        <v>29</v>
      </c>
      <c r="M16" s="57"/>
      <c r="N16" s="57"/>
      <c r="O16" s="57"/>
      <c r="P16" s="57"/>
      <c r="Q16" s="57"/>
      <c r="R16" s="57"/>
      <c r="S16" s="58"/>
      <c r="T16" s="57"/>
      <c r="U16" s="59"/>
      <c r="AB16" s="107"/>
      <c r="AC16" s="107"/>
      <c r="AD16" s="107"/>
      <c r="AE16" s="107"/>
      <c r="AF16" s="129">
        <f>+HLOOKUP(AF4,AF7:AL11,4,FALSE)</f>
        <v>15</v>
      </c>
      <c r="AG16" s="107"/>
      <c r="AH16" s="107">
        <v>6</v>
      </c>
      <c r="AI16" s="107"/>
      <c r="AJ16" s="107"/>
      <c r="AK16" s="107"/>
      <c r="AL16" s="107"/>
    </row>
    <row r="17" spans="7:38" x14ac:dyDescent="0.2">
      <c r="G17" s="56"/>
      <c r="H17" s="119" t="s">
        <v>272</v>
      </c>
      <c r="I17" s="57"/>
      <c r="J17" s="57"/>
      <c r="K17" s="57"/>
      <c r="L17" s="119" t="s">
        <v>272</v>
      </c>
      <c r="M17" s="57"/>
      <c r="N17" s="57"/>
      <c r="O17" s="57"/>
      <c r="P17" s="57"/>
      <c r="Q17" s="63" t="s">
        <v>166</v>
      </c>
      <c r="R17" s="66"/>
      <c r="S17" s="66"/>
      <c r="T17" s="57"/>
      <c r="U17" s="59"/>
      <c r="AB17" s="109" t="s">
        <v>86</v>
      </c>
      <c r="AC17" s="107">
        <v>1</v>
      </c>
      <c r="AD17" s="107"/>
      <c r="AE17" s="107"/>
      <c r="AF17" s="129">
        <f>+HLOOKUP(AF4,AF7:AL11,5,FALSE)</f>
        <v>20</v>
      </c>
      <c r="AG17" s="107"/>
      <c r="AH17" s="107">
        <v>7</v>
      </c>
      <c r="AI17" s="107"/>
      <c r="AJ17" s="107"/>
      <c r="AK17" s="107"/>
      <c r="AL17" s="107"/>
    </row>
    <row r="18" spans="7:38" ht="13.5" thickBot="1" x14ac:dyDescent="0.25">
      <c r="G18" s="56"/>
      <c r="H18" s="150">
        <v>11</v>
      </c>
      <c r="I18" s="57"/>
      <c r="J18" s="57"/>
      <c r="K18" s="57"/>
      <c r="L18" s="150">
        <v>15</v>
      </c>
      <c r="M18" s="57"/>
      <c r="N18" s="66"/>
      <c r="O18" s="57"/>
      <c r="P18" s="57"/>
      <c r="Q18" s="66"/>
      <c r="R18" s="66"/>
      <c r="S18" s="66"/>
      <c r="T18" s="57"/>
      <c r="U18" s="59"/>
      <c r="AB18" s="107"/>
      <c r="AC18" s="107" t="b">
        <v>1</v>
      </c>
      <c r="AD18" s="107"/>
      <c r="AE18" s="107"/>
      <c r="AF18" s="107"/>
      <c r="AG18" s="107"/>
      <c r="AH18" s="107">
        <v>8</v>
      </c>
      <c r="AI18" s="107"/>
      <c r="AJ18" s="107"/>
      <c r="AK18" s="107"/>
      <c r="AL18" s="107"/>
    </row>
    <row r="19" spans="7:38" ht="16.5" customHeight="1" thickTop="1" x14ac:dyDescent="0.3">
      <c r="G19" s="56"/>
      <c r="H19" s="67" t="s">
        <v>95</v>
      </c>
      <c r="I19" s="67"/>
      <c r="J19" s="128" t="s">
        <v>320</v>
      </c>
      <c r="K19" s="57"/>
      <c r="L19" s="57"/>
      <c r="M19" s="57"/>
      <c r="N19" s="57"/>
      <c r="O19" s="57"/>
      <c r="P19" s="57"/>
      <c r="Q19" s="65" t="s">
        <v>20</v>
      </c>
      <c r="R19" s="57"/>
      <c r="S19" s="51" t="s">
        <v>90</v>
      </c>
      <c r="T19" s="57"/>
      <c r="U19" s="59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</row>
    <row r="20" spans="7:38" ht="16.5" customHeight="1" x14ac:dyDescent="0.3">
      <c r="G20" s="56"/>
      <c r="H20" s="66"/>
      <c r="I20" s="66"/>
      <c r="J20" s="63"/>
      <c r="K20" s="57"/>
      <c r="L20" s="68" t="s">
        <v>61</v>
      </c>
      <c r="M20" s="65"/>
      <c r="N20" s="57"/>
      <c r="O20" s="57"/>
      <c r="P20" s="57"/>
      <c r="Q20" s="57"/>
      <c r="R20" s="57"/>
      <c r="S20" s="58"/>
      <c r="T20" s="57"/>
      <c r="U20" s="59"/>
      <c r="AB20" s="107" t="s">
        <v>126</v>
      </c>
      <c r="AC20" s="107" t="b">
        <v>1</v>
      </c>
      <c r="AD20" s="107"/>
      <c r="AE20" s="107"/>
      <c r="AF20" s="107"/>
      <c r="AG20" s="107"/>
      <c r="AH20" s="107" t="s">
        <v>32</v>
      </c>
      <c r="AI20" s="107"/>
      <c r="AJ20" s="107" t="s">
        <v>33</v>
      </c>
      <c r="AK20" s="107">
        <f t="array" ref="AK20">+MIN(IF(AJ21:AJ29&gt;S12,AJ21:AJ29))</f>
        <v>251</v>
      </c>
      <c r="AL20" s="107"/>
    </row>
    <row r="21" spans="7:38" ht="15.75" thickBot="1" x14ac:dyDescent="0.35">
      <c r="G21" s="56"/>
      <c r="H21" s="66"/>
      <c r="I21" s="66"/>
      <c r="J21" s="63"/>
      <c r="K21" s="57"/>
      <c r="L21" s="127">
        <v>30</v>
      </c>
      <c r="M21" s="65"/>
      <c r="N21" s="57"/>
      <c r="O21" s="57"/>
      <c r="P21" s="57"/>
      <c r="Q21" s="65" t="s">
        <v>101</v>
      </c>
      <c r="R21" s="57"/>
      <c r="S21" s="58"/>
      <c r="T21" s="57"/>
      <c r="U21" s="59"/>
      <c r="AB21" s="107"/>
      <c r="AC21" s="107"/>
      <c r="AD21" s="107"/>
      <c r="AE21" s="107"/>
      <c r="AF21" s="107"/>
      <c r="AG21" s="107"/>
      <c r="AH21" s="107"/>
      <c r="AI21" s="107"/>
      <c r="AJ21" s="107">
        <v>51</v>
      </c>
      <c r="AK21" s="107"/>
      <c r="AL21" s="107"/>
    </row>
    <row r="22" spans="7:38" ht="15.75" customHeight="1" thickTop="1" x14ac:dyDescent="0.3">
      <c r="G22" s="56"/>
      <c r="H22" s="57"/>
      <c r="I22" s="57"/>
      <c r="J22" s="57"/>
      <c r="K22" s="57"/>
      <c r="L22" s="82">
        <v>30</v>
      </c>
      <c r="M22" s="57"/>
      <c r="N22" s="57"/>
      <c r="O22" s="57"/>
      <c r="P22" s="57"/>
      <c r="Q22" s="57"/>
      <c r="R22" s="57"/>
      <c r="S22" s="58"/>
      <c r="T22" s="57"/>
      <c r="U22" s="59"/>
      <c r="AB22" s="109" t="s">
        <v>26</v>
      </c>
      <c r="AC22" s="107">
        <v>2</v>
      </c>
      <c r="AD22" s="107" t="e">
        <f>+HLOOKUP(AC22,AF3:AL7,2,FALSE)</f>
        <v>#N/A</v>
      </c>
      <c r="AE22" s="107"/>
      <c r="AF22" s="107"/>
      <c r="AG22" s="107"/>
      <c r="AH22" s="107">
        <v>150</v>
      </c>
      <c r="AI22" s="107"/>
      <c r="AJ22" s="107">
        <v>101</v>
      </c>
      <c r="AK22" s="107"/>
      <c r="AL22" s="107"/>
    </row>
    <row r="23" spans="7:38" ht="15.95" customHeight="1" thickBot="1" x14ac:dyDescent="0.35">
      <c r="G23" s="56"/>
      <c r="H23" s="57"/>
      <c r="I23" s="57"/>
      <c r="J23" s="57"/>
      <c r="K23" s="57"/>
      <c r="L23" s="57"/>
      <c r="M23" s="57"/>
      <c r="N23" s="57"/>
      <c r="O23" s="57"/>
      <c r="P23" s="57"/>
      <c r="Q23" s="224" t="s">
        <v>158</v>
      </c>
      <c r="R23" s="224"/>
      <c r="S23" s="224"/>
      <c r="T23" s="57"/>
      <c r="U23" s="59"/>
      <c r="AB23" s="107" t="s">
        <v>159</v>
      </c>
      <c r="AC23" s="107"/>
      <c r="AD23" s="107"/>
      <c r="AE23" s="107"/>
      <c r="AF23" s="107"/>
      <c r="AG23" s="107"/>
      <c r="AH23" s="107">
        <v>250</v>
      </c>
      <c r="AI23" s="107"/>
      <c r="AJ23" s="107">
        <v>151</v>
      </c>
      <c r="AK23" s="107"/>
      <c r="AL23" s="107"/>
    </row>
    <row r="24" spans="7:38" ht="19.5" thickTop="1" x14ac:dyDescent="0.2">
      <c r="G24" s="56"/>
      <c r="H24" s="75" t="s">
        <v>319</v>
      </c>
      <c r="I24" s="66" t="s">
        <v>160</v>
      </c>
      <c r="J24" s="63"/>
      <c r="K24" s="63" t="s">
        <v>362</v>
      </c>
      <c r="L24" s="57"/>
      <c r="M24" s="57"/>
      <c r="N24" s="57"/>
      <c r="O24" s="57"/>
      <c r="P24" s="218" t="str">
        <f>IF($AC$17=1,+HLOOKUP($AC$22,AC41:AI45,3,FALSE),+HLOOKUP($AC$22,AC41:AI51,9,FALSE))</f>
        <v>plancher EBS 12+8</v>
      </c>
      <c r="Q24" s="219"/>
      <c r="R24" s="219"/>
      <c r="S24" s="219"/>
      <c r="T24" s="219"/>
      <c r="U24" s="59"/>
      <c r="AB24" s="107"/>
      <c r="AC24" s="107"/>
      <c r="AD24" s="107"/>
      <c r="AE24" s="107"/>
      <c r="AF24" s="107"/>
      <c r="AG24" s="107"/>
      <c r="AH24" s="107">
        <v>400</v>
      </c>
      <c r="AI24" s="107"/>
      <c r="AJ24" s="107">
        <v>201</v>
      </c>
      <c r="AK24" s="107"/>
      <c r="AL24" s="107"/>
    </row>
    <row r="25" spans="7:38" ht="16.5" customHeight="1" x14ac:dyDescent="0.2">
      <c r="G25" s="56"/>
      <c r="H25" s="57"/>
      <c r="I25" s="57"/>
      <c r="J25" s="57"/>
      <c r="K25" s="57"/>
      <c r="L25" s="57"/>
      <c r="M25" s="57"/>
      <c r="N25" s="57"/>
      <c r="O25" s="66"/>
      <c r="P25" s="69"/>
      <c r="Q25" s="220" t="str">
        <f>IF(AC22=5,"pose AVEC étai",+IF(AC22=6, "pose AVEC étai",+IF(AC22=7,"pose AVEC étai",+IF(S19="avec etai","pose AVEC étai","pose SANS étai"))))</f>
        <v>pose AVEC étai</v>
      </c>
      <c r="R25" s="220"/>
      <c r="S25" s="220"/>
      <c r="T25" s="70"/>
      <c r="U25" s="59"/>
      <c r="AB25" s="121" t="s">
        <v>279</v>
      </c>
      <c r="AC25" s="107"/>
      <c r="AD25" s="107"/>
      <c r="AE25" s="107"/>
      <c r="AF25" s="107"/>
      <c r="AG25" s="107"/>
      <c r="AH25" s="107"/>
      <c r="AI25" s="107"/>
      <c r="AJ25" s="107">
        <v>251</v>
      </c>
      <c r="AK25" s="107"/>
      <c r="AL25" s="107"/>
    </row>
    <row r="26" spans="7:38" x14ac:dyDescent="0.2">
      <c r="G26" s="56"/>
      <c r="H26" s="57"/>
      <c r="I26" s="57"/>
      <c r="J26" s="57"/>
      <c r="K26" s="57"/>
      <c r="L26" s="57"/>
      <c r="M26" s="71" t="s">
        <v>145</v>
      </c>
      <c r="N26" s="57"/>
      <c r="O26" s="57"/>
      <c r="P26" s="227" t="s">
        <v>92</v>
      </c>
      <c r="Q26" s="226"/>
      <c r="R26" s="226"/>
      <c r="S26" s="72">
        <f>IF($AC$17=1,+HLOOKUP($AC$22,AC41:AI45,4,FALSE),+HLOOKUP($AC$22,AC41:AI51,10,FALSE))</f>
        <v>257</v>
      </c>
      <c r="T26" s="73"/>
      <c r="U26" s="59"/>
      <c r="AB26" s="109" t="s">
        <v>88</v>
      </c>
      <c r="AC26" s="107">
        <v>1</v>
      </c>
      <c r="AD26" s="107">
        <v>2</v>
      </c>
      <c r="AE26" s="107">
        <v>3</v>
      </c>
      <c r="AF26" s="107">
        <v>4</v>
      </c>
      <c r="AG26" s="107">
        <v>5</v>
      </c>
      <c r="AH26" s="107">
        <v>6</v>
      </c>
      <c r="AI26" s="107">
        <v>7</v>
      </c>
      <c r="AJ26" s="107">
        <v>301</v>
      </c>
      <c r="AK26" s="107"/>
      <c r="AL26" s="107"/>
    </row>
    <row r="27" spans="7:38" ht="15.75" x14ac:dyDescent="0.25">
      <c r="G27" s="56"/>
      <c r="H27" s="57"/>
      <c r="I27" s="62"/>
      <c r="J27" s="57"/>
      <c r="K27" s="57"/>
      <c r="L27" s="57"/>
      <c r="M27" s="71" t="s">
        <v>146</v>
      </c>
      <c r="N27" s="57"/>
      <c r="O27" s="57"/>
      <c r="P27" s="74"/>
      <c r="Q27" s="226" t="s">
        <v>73</v>
      </c>
      <c r="R27" s="226"/>
      <c r="S27" s="72">
        <f>IF($AC$17=1,+HLOOKUP($AC$22,AC41:AI46,5,FALSE),+HLOOKUP($AC$22,AC41:AI51,11,FALSE))</f>
        <v>92.5</v>
      </c>
      <c r="T27" s="73"/>
      <c r="U27" s="59"/>
      <c r="AB27" s="107" t="s">
        <v>64</v>
      </c>
      <c r="AC27" s="107">
        <f>+polyseac!G50</f>
        <v>5.9</v>
      </c>
      <c r="AD27" s="107">
        <f>+ebsvs!G50</f>
        <v>5.95</v>
      </c>
      <c r="AE27" s="107">
        <f>+plastivs!G50</f>
        <v>5.85</v>
      </c>
      <c r="AF27" s="107" t="str">
        <f>+seacisol!G50</f>
        <v>non disponible</v>
      </c>
      <c r="AG27" s="107">
        <f>+ebset!G50</f>
        <v>5.95</v>
      </c>
      <c r="AH27" s="107">
        <f>+ebset!G50</f>
        <v>5.95</v>
      </c>
      <c r="AI27" s="107">
        <f>+seacbois!G50</f>
        <v>5.95</v>
      </c>
      <c r="AJ27" s="107">
        <v>401</v>
      </c>
      <c r="AK27" s="107"/>
      <c r="AL27" s="107"/>
    </row>
    <row r="28" spans="7:38" ht="15" customHeight="1" x14ac:dyDescent="0.2">
      <c r="G28" s="56"/>
      <c r="H28" s="57"/>
      <c r="I28" s="66"/>
      <c r="J28" s="65"/>
      <c r="K28" s="57"/>
      <c r="L28" s="57"/>
      <c r="M28" s="71" t="s">
        <v>147</v>
      </c>
      <c r="N28" s="57"/>
      <c r="O28" s="57"/>
      <c r="P28" s="126" t="s">
        <v>317</v>
      </c>
      <c r="Q28" s="125"/>
      <c r="R28" s="124"/>
      <c r="S28" s="140">
        <f>IF($AC$17=1,+HLOOKUP($AC$22,AC41:AI46,6,FALSE),+HLOOKUP($AC$22,AC41:AI52,12,FALSE))</f>
        <v>20.759999999999998</v>
      </c>
      <c r="T28" s="83"/>
      <c r="U28" s="59"/>
      <c r="AB28" s="107" t="s">
        <v>71</v>
      </c>
      <c r="AC28" s="107">
        <f>+polyseac!G51</f>
        <v>210</v>
      </c>
      <c r="AD28" s="107">
        <f>+ebsvs!G51</f>
        <v>195</v>
      </c>
      <c r="AE28" s="107">
        <f>+plastivs!G51</f>
        <v>238</v>
      </c>
      <c r="AF28" s="107">
        <f>+seacisol!G51</f>
        <v>0</v>
      </c>
      <c r="AG28" s="107">
        <f>+ebset!G51</f>
        <v>211</v>
      </c>
      <c r="AH28" s="107">
        <f>+ebset!G51</f>
        <v>211</v>
      </c>
      <c r="AI28" s="107">
        <f>+seacbois!G51</f>
        <v>219</v>
      </c>
      <c r="AJ28" s="107">
        <v>501</v>
      </c>
      <c r="AK28" s="107"/>
      <c r="AL28" s="107"/>
    </row>
    <row r="29" spans="7:38" ht="20.100000000000001" customHeight="1" x14ac:dyDescent="0.25">
      <c r="G29" s="56"/>
      <c r="H29" s="57"/>
      <c r="I29" s="66"/>
      <c r="J29" s="65"/>
      <c r="K29" s="57"/>
      <c r="L29" s="57"/>
      <c r="M29" s="71" t="s">
        <v>148</v>
      </c>
      <c r="N29" s="57"/>
      <c r="O29" s="57"/>
      <c r="P29" s="225"/>
      <c r="Q29" s="225"/>
      <c r="R29" s="225"/>
      <c r="S29" s="225"/>
      <c r="T29" s="225"/>
      <c r="U29" s="59"/>
      <c r="AB29" s="107" t="s">
        <v>72</v>
      </c>
      <c r="AC29" s="107">
        <f>+polyseac!G52</f>
        <v>73</v>
      </c>
      <c r="AD29" s="107">
        <f>+ebsvs!G52</f>
        <v>69</v>
      </c>
      <c r="AE29" s="107">
        <f>+plastivs!G52</f>
        <v>82.5</v>
      </c>
      <c r="AF29" s="107">
        <f>+seacisol!G52</f>
        <v>0</v>
      </c>
      <c r="AG29" s="107">
        <f>+ebset!G52</f>
        <v>70</v>
      </c>
      <c r="AH29" s="107">
        <f>+ebset!G52</f>
        <v>70</v>
      </c>
      <c r="AI29" s="107">
        <f>+seacbois!G52</f>
        <v>69</v>
      </c>
      <c r="AJ29" s="107"/>
      <c r="AK29" s="107"/>
      <c r="AL29" s="107"/>
    </row>
    <row r="30" spans="7:38" ht="19.5" customHeight="1" x14ac:dyDescent="0.25">
      <c r="G30" s="56"/>
      <c r="H30" s="57"/>
      <c r="I30" s="57"/>
      <c r="J30" s="57"/>
      <c r="K30" s="57"/>
      <c r="L30" s="57"/>
      <c r="M30" s="57"/>
      <c r="N30" s="57"/>
      <c r="O30" s="57"/>
      <c r="P30" s="225" t="s">
        <v>323</v>
      </c>
      <c r="Q30" s="225"/>
      <c r="R30" s="225"/>
      <c r="S30" s="225"/>
      <c r="T30" s="225"/>
      <c r="U30" s="59"/>
      <c r="AB30" s="107" t="s">
        <v>274</v>
      </c>
      <c r="AC30" s="107">
        <f>+polyseac!G53</f>
        <v>39.26</v>
      </c>
      <c r="AD30">
        <f>+ebsvs!G53</f>
        <v>16.72</v>
      </c>
      <c r="AE30" s="107">
        <f>+plastivs!G53</f>
        <v>25.74</v>
      </c>
      <c r="AF30" s="107">
        <f>+seacisol!G53</f>
        <v>0</v>
      </c>
      <c r="AG30" s="107">
        <f>+ebset!G53</f>
        <v>16.72</v>
      </c>
      <c r="AH30" s="107">
        <f>+ebset!G53</f>
        <v>16.72</v>
      </c>
      <c r="AI30" s="107">
        <f>+seacbois!G53</f>
        <v>27.31</v>
      </c>
      <c r="AK30" s="107"/>
      <c r="AL30" s="107"/>
    </row>
    <row r="31" spans="7:38" ht="16.5" customHeight="1" thickBot="1" x14ac:dyDescent="0.25">
      <c r="G31" s="56"/>
      <c r="H31" s="57"/>
      <c r="I31" s="57"/>
      <c r="J31" s="57"/>
      <c r="K31" s="57"/>
      <c r="L31" s="57"/>
      <c r="M31" s="57"/>
      <c r="N31" s="57"/>
      <c r="O31" s="57"/>
      <c r="P31" s="57"/>
      <c r="Q31" s="63" t="s">
        <v>27</v>
      </c>
      <c r="R31" s="57"/>
      <c r="S31" s="75" t="s">
        <v>28</v>
      </c>
      <c r="T31" s="57"/>
      <c r="U31" s="59"/>
      <c r="AB31" s="107" t="s">
        <v>65</v>
      </c>
      <c r="AC31" s="107" t="str">
        <f>IF(Q32&gt;20,"hauteur hourdis non disponible",+"plancher"&amp;" "&amp;"POLYSEAC"&amp;" "&amp;Q32&amp;" "&amp;"+" &amp;" "&amp;S32&amp;" "&amp;"UP"&amp;H18)</f>
        <v>plancher POLYSEAC 15 + 5 UP11</v>
      </c>
      <c r="AD31" s="107" t="str">
        <f>IF(Q32&gt;20,"hauteur hourdis non disponible",+"plancher"&amp;" "&amp;"EBS"&amp;" "&amp;Q32&amp;" "&amp;"+" &amp;" "&amp;S32)</f>
        <v>plancher EBS 15 + 5</v>
      </c>
      <c r="AE31" s="107" t="str">
        <f>IF(Q32&gt;15,"hauteur hourdis non disponible",+"plancher"&amp;" "&amp;"PLASTIVS"&amp;" "&amp;Q32&amp;" "&amp;"+" &amp;" "&amp;S32)</f>
        <v>plancher PLASTIVS 15 + 5</v>
      </c>
      <c r="AF31" s="107" t="str">
        <f>+seacisol!G45</f>
        <v>choisir un seacisol</v>
      </c>
      <c r="AG31" s="107" t="str">
        <f>+ebset!G45</f>
        <v>plancher EBS 15 + 5</v>
      </c>
      <c r="AH31" s="107" t="str">
        <f>+ebset!B44</f>
        <v>plancher PREDAL-SEACOUSTIC 15 + 5</v>
      </c>
      <c r="AI31" s="107" t="str">
        <f>IF(Q32&gt;20,"hauteur hourdis non disponible",+"plancher"&amp;" "&amp;"seacbois"&amp;" "&amp;Q32&amp;" "&amp;"+" &amp;" "&amp;S32)</f>
        <v>plancher seacbois 15 + 5</v>
      </c>
      <c r="AJ31" s="107"/>
      <c r="AK31" s="107"/>
      <c r="AL31" s="107"/>
    </row>
    <row r="32" spans="7:38" ht="18" customHeight="1" thickTop="1" x14ac:dyDescent="0.35">
      <c r="G32" s="76">
        <f>+AC22</f>
        <v>2</v>
      </c>
      <c r="H32" s="57"/>
      <c r="I32" s="57"/>
      <c r="J32" s="57"/>
      <c r="K32" s="57"/>
      <c r="L32" s="57"/>
      <c r="M32" s="57"/>
      <c r="N32" s="57"/>
      <c r="O32" s="57"/>
      <c r="P32" s="57"/>
      <c r="Q32" s="282">
        <v>15</v>
      </c>
      <c r="R32" s="130" t="s">
        <v>53</v>
      </c>
      <c r="S32" s="282">
        <v>5</v>
      </c>
      <c r="T32" s="57"/>
      <c r="U32" s="59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</row>
    <row r="33" spans="7:38" x14ac:dyDescent="0.2">
      <c r="G33" s="56"/>
      <c r="H33" s="57"/>
      <c r="I33" s="57"/>
      <c r="J33" s="57"/>
      <c r="K33" s="57"/>
      <c r="L33" s="57"/>
      <c r="M33" s="57"/>
      <c r="N33" s="57"/>
      <c r="O33" s="57"/>
      <c r="P33" s="138"/>
      <c r="Q33" s="64"/>
      <c r="R33" s="64"/>
      <c r="S33" s="131"/>
      <c r="T33" s="57"/>
      <c r="U33" s="59"/>
      <c r="AB33" s="109" t="s">
        <v>89</v>
      </c>
      <c r="AC33" s="107">
        <v>1</v>
      </c>
      <c r="AD33" s="107">
        <v>2</v>
      </c>
      <c r="AE33" s="107">
        <v>3</v>
      </c>
      <c r="AF33" s="107">
        <v>4</v>
      </c>
      <c r="AG33" s="107">
        <v>5</v>
      </c>
      <c r="AH33" s="107">
        <v>6</v>
      </c>
      <c r="AI33" s="107">
        <v>7</v>
      </c>
      <c r="AJ33" s="107"/>
      <c r="AK33" s="107"/>
      <c r="AL33" s="107"/>
    </row>
    <row r="34" spans="7:38" ht="15.75" x14ac:dyDescent="0.25">
      <c r="G34" s="56"/>
      <c r="H34" s="57"/>
      <c r="I34" s="57"/>
      <c r="J34" s="57"/>
      <c r="K34" s="57"/>
      <c r="L34" s="57"/>
      <c r="M34" s="57"/>
      <c r="N34" s="57"/>
      <c r="O34" s="57"/>
      <c r="P34" s="228" t="s">
        <v>324</v>
      </c>
      <c r="Q34" s="228"/>
      <c r="R34" s="228"/>
      <c r="S34" s="283">
        <f>IF(AC17=1,+HLOOKUP(AC22,AC26:AI27,2,FALSE),+HLOOKUP(AC22,AC33:AI34,2,FALSE))</f>
        <v>5.95</v>
      </c>
      <c r="T34" s="57"/>
      <c r="U34" s="59"/>
      <c r="AB34" s="107" t="s">
        <v>64</v>
      </c>
      <c r="AC34" s="107" t="s">
        <v>94</v>
      </c>
      <c r="AD34" s="107">
        <f>+ebsvs!G96</f>
        <v>6.75</v>
      </c>
      <c r="AE34" s="107">
        <f>+plastivs!G96</f>
        <v>6.6999999999999993</v>
      </c>
      <c r="AF34" s="107" t="s">
        <v>94</v>
      </c>
      <c r="AG34" s="107">
        <f>+ebset!G96</f>
        <v>6.75</v>
      </c>
      <c r="AH34" s="107">
        <f>+ebset!G96</f>
        <v>6.75</v>
      </c>
      <c r="AI34" s="107">
        <f>+seacbois!G96</f>
        <v>6.75</v>
      </c>
      <c r="AJ34" s="107"/>
      <c r="AK34" s="107"/>
      <c r="AL34" s="107"/>
    </row>
    <row r="35" spans="7:38" ht="13.5" thickBot="1" x14ac:dyDescent="0.25">
      <c r="G35" s="56"/>
      <c r="H35" s="57"/>
      <c r="I35" s="57"/>
      <c r="J35" s="57"/>
      <c r="K35" s="57"/>
      <c r="L35" s="57"/>
      <c r="M35" s="57"/>
      <c r="N35" s="57"/>
      <c r="O35" s="57"/>
      <c r="P35" s="139"/>
      <c r="Q35" s="57"/>
      <c r="R35" s="71"/>
      <c r="S35" s="132"/>
      <c r="T35" s="71"/>
      <c r="U35" s="59"/>
      <c r="AB35" s="107" t="s">
        <v>71</v>
      </c>
      <c r="AC35" s="107" t="s">
        <v>128</v>
      </c>
      <c r="AD35" s="107">
        <f>+ebsvs!G97</f>
        <v>253</v>
      </c>
      <c r="AE35" s="107">
        <f>+plastivs!G97</f>
        <v>255</v>
      </c>
      <c r="AF35" s="107"/>
      <c r="AG35" s="107">
        <f>+ebset!G97</f>
        <v>253</v>
      </c>
      <c r="AH35" s="107">
        <f>+ebset!G97</f>
        <v>253</v>
      </c>
      <c r="AI35" s="107">
        <f>+seacbois!G97</f>
        <v>260</v>
      </c>
      <c r="AJ35" s="107"/>
      <c r="AK35" s="107"/>
      <c r="AL35" s="107"/>
    </row>
    <row r="36" spans="7:38" ht="19.5" thickTop="1" x14ac:dyDescent="0.3">
      <c r="G36" s="56"/>
      <c r="H36" s="57"/>
      <c r="I36" s="57"/>
      <c r="J36" s="57"/>
      <c r="K36" s="57"/>
      <c r="L36" s="57"/>
      <c r="M36" s="57"/>
      <c r="N36" s="57"/>
      <c r="O36" s="57"/>
      <c r="P36" s="221" t="str">
        <f>IF(AC17=1,+HLOOKUP(AC22,AC26:AI31,6,FALSE),+HLOOKUP(AC22,AC33:AI37,5,FALSE))</f>
        <v>plancher EBS 15 + 5</v>
      </c>
      <c r="Q36" s="222"/>
      <c r="R36" s="222"/>
      <c r="S36" s="222"/>
      <c r="T36" s="222"/>
      <c r="U36" s="59"/>
      <c r="AB36" s="107" t="s">
        <v>72</v>
      </c>
      <c r="AC36" s="107" t="s">
        <v>128</v>
      </c>
      <c r="AD36" s="107">
        <f>+ebsvs!G98</f>
        <v>76</v>
      </c>
      <c r="AE36" s="107">
        <f>+plastivs!G98</f>
        <v>84.5</v>
      </c>
      <c r="AF36" s="107"/>
      <c r="AG36" s="107">
        <f>+ebset!G98</f>
        <v>76</v>
      </c>
      <c r="AH36" s="107">
        <f>+ebset!G98</f>
        <v>76</v>
      </c>
      <c r="AI36" s="107">
        <f>+seacbois!G98</f>
        <v>79</v>
      </c>
      <c r="AJ36" s="107"/>
      <c r="AK36" s="107"/>
      <c r="AL36" s="107"/>
    </row>
    <row r="37" spans="7:38" x14ac:dyDescent="0.2">
      <c r="G37" s="56"/>
      <c r="H37" s="57"/>
      <c r="I37" s="57"/>
      <c r="J37" s="57"/>
      <c r="K37" s="57"/>
      <c r="L37" s="57"/>
      <c r="M37" s="57"/>
      <c r="N37" s="57"/>
      <c r="O37" s="57"/>
      <c r="P37" s="77"/>
      <c r="Q37" s="223" t="str">
        <f>IF(AC22=5,"pose AVEC étai",+IF(AC22=6, "pose AVEC étai",+IF(AC22=7,"pose AVEC étai",+IF(S19="avec etai","pose AVEC étai","pose SANS étai"))))</f>
        <v>pose AVEC étai</v>
      </c>
      <c r="R37" s="223"/>
      <c r="S37" s="223"/>
      <c r="T37" s="135"/>
      <c r="U37" s="59"/>
      <c r="AB37" s="107" t="s">
        <v>93</v>
      </c>
      <c r="AC37" s="107" t="s">
        <v>102</v>
      </c>
      <c r="AD37" s="107" t="str">
        <f>+"plancher"&amp;" "&amp;"EBS"&amp;" "&amp;Q32&amp;" "&amp;"+"&amp;" "&amp;S32&amp;" jum"</f>
        <v>plancher EBS 15 + 5 jum</v>
      </c>
      <c r="AE37" s="107" t="str">
        <f>IF(Q32&gt;15,"hauteur hourdis non disponible",+"plancher"&amp;" "&amp;"PLASTIVS"&amp;" "&amp;Q32&amp;" "&amp;"+" &amp;" "&amp;S32&amp;" jum")</f>
        <v>plancher PLASTIVS 15 + 5 jum</v>
      </c>
      <c r="AF37" s="107" t="s">
        <v>102</v>
      </c>
      <c r="AG37" s="107" t="str">
        <f>+ebset!G91</f>
        <v>plancher EBS 15 + 5 jum</v>
      </c>
      <c r="AH37" s="107" t="str">
        <f>+ebset!B90</f>
        <v>plancher PREDAL-SACOUSTIC 15 + 5 jum</v>
      </c>
      <c r="AI37" s="107" t="str">
        <f>IF(Q331&gt;20,"hauteur hourdis non disponible",+"plancher"&amp;" "&amp;"seacbois"&amp;" "&amp;Q32&amp;" "&amp;"+" &amp;" "&amp;S32&amp;" jum")</f>
        <v>plancher seacbois 15 + 5 jum</v>
      </c>
      <c r="AJ37" s="107"/>
      <c r="AK37" s="107"/>
      <c r="AL37" s="107"/>
    </row>
    <row r="38" spans="7:38" x14ac:dyDescent="0.2">
      <c r="G38" s="56"/>
      <c r="H38" s="57"/>
      <c r="I38" s="57"/>
      <c r="J38" s="57"/>
      <c r="K38" s="57"/>
      <c r="L38" s="57"/>
      <c r="M38" s="57"/>
      <c r="N38" s="57"/>
      <c r="O38" s="57"/>
      <c r="P38" s="77"/>
      <c r="Q38" s="134" t="s">
        <v>92</v>
      </c>
      <c r="R38" s="135"/>
      <c r="S38" s="136">
        <f>IF(AC17=1,+HLOOKUP(AC22,AC26:AI31,3,FALSE),+HLOOKUP(AC22,AC33:AI37,3,FALSE))</f>
        <v>195</v>
      </c>
      <c r="T38" s="135"/>
      <c r="U38" s="59"/>
      <c r="AB38" s="107" t="s">
        <v>274</v>
      </c>
      <c r="AD38">
        <f>+ebsvs!G99</f>
        <v>21.47</v>
      </c>
      <c r="AE38" s="107">
        <f>+plastivs!G99</f>
        <v>29.63</v>
      </c>
      <c r="AG38" s="107">
        <f>+ebset!G99</f>
        <v>21.47</v>
      </c>
      <c r="AH38" s="107">
        <f>+ebset!G99</f>
        <v>21.47</v>
      </c>
      <c r="AI38" s="107">
        <f>+seacbois!G99</f>
        <v>30.76</v>
      </c>
      <c r="AK38" s="107"/>
      <c r="AL38" s="107"/>
    </row>
    <row r="39" spans="7:38" x14ac:dyDescent="0.2">
      <c r="G39" s="56"/>
      <c r="H39" s="57"/>
      <c r="I39" s="57"/>
      <c r="J39" s="57"/>
      <c r="K39" s="57"/>
      <c r="L39" s="57"/>
      <c r="M39" s="57"/>
      <c r="N39" s="57"/>
      <c r="O39" s="57"/>
      <c r="P39" s="77"/>
      <c r="Q39" s="133" t="s">
        <v>73</v>
      </c>
      <c r="R39" s="135"/>
      <c r="S39" s="137">
        <f>IF(AC17=1,+HLOOKUP(AC22,AC26:AI31,4,FALSE),+HLOOKUP(AC22,AC33:AI37,4,FALSE))</f>
        <v>69</v>
      </c>
      <c r="T39" s="135"/>
      <c r="U39" s="59"/>
      <c r="AK39" s="107"/>
      <c r="AL39" s="107"/>
    </row>
    <row r="40" spans="7:38" x14ac:dyDescent="0.2">
      <c r="G40" s="56"/>
      <c r="H40" s="57"/>
      <c r="I40" s="57"/>
      <c r="J40" s="57"/>
      <c r="K40" s="57"/>
      <c r="L40" s="57"/>
      <c r="M40" s="57"/>
      <c r="N40" s="57"/>
      <c r="O40" s="57"/>
      <c r="P40" s="77" t="s">
        <v>318</v>
      </c>
      <c r="Q40" s="133"/>
      <c r="R40" s="135"/>
      <c r="S40" s="141">
        <f>IF(AC17=1,+HLOOKUP(AC22,AC26:AI31,5,FALSE),+HLOOKUP(AC22,AC33:AI38,6,FALSE))</f>
        <v>16.72</v>
      </c>
      <c r="T40" s="135"/>
      <c r="U40" s="59"/>
      <c r="AK40" s="107"/>
      <c r="AL40" s="107"/>
    </row>
    <row r="41" spans="7:38" x14ac:dyDescent="0.2">
      <c r="G41" s="56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8"/>
      <c r="T41" s="57"/>
      <c r="U41" s="59"/>
      <c r="AC41" s="107">
        <v>1</v>
      </c>
      <c r="AD41" s="107">
        <v>2</v>
      </c>
      <c r="AE41" s="107">
        <v>3</v>
      </c>
      <c r="AF41" s="107">
        <v>4</v>
      </c>
      <c r="AG41" s="107">
        <v>5</v>
      </c>
      <c r="AH41" s="107">
        <v>6</v>
      </c>
      <c r="AI41" s="107">
        <v>7</v>
      </c>
      <c r="AK41" s="107"/>
      <c r="AL41" s="107"/>
    </row>
    <row r="42" spans="7:38" x14ac:dyDescent="0.2">
      <c r="G42" s="56"/>
      <c r="H42" s="57"/>
      <c r="I42" s="57"/>
      <c r="J42" s="57"/>
      <c r="K42" s="57"/>
      <c r="L42" s="57"/>
      <c r="M42" s="57"/>
      <c r="N42" s="57"/>
      <c r="O42" s="57"/>
      <c r="P42" s="71"/>
      <c r="Q42" s="57"/>
      <c r="R42" s="57"/>
      <c r="S42" s="58"/>
      <c r="T42" s="57"/>
      <c r="U42" s="59"/>
      <c r="AB42" s="121" t="s">
        <v>125</v>
      </c>
      <c r="AC42" s="107" t="str">
        <f>+IF(S19="avec etai",polyseac!J59,polyseac!T59)</f>
        <v>12+7</v>
      </c>
      <c r="AD42" s="107" t="str">
        <f>+IF($S$19="avec etai",ebsvs!J118,ebsvs!T118)</f>
        <v>12+8</v>
      </c>
      <c r="AE42" s="107" t="str">
        <f>+IF($S$19="avec etai",plastivs!J118,plastivs!T118)</f>
        <v>12+5</v>
      </c>
      <c r="AF42" s="107" t="str">
        <f>+IF($S$19="avec etai",seacisol!J67,seacisol!T67)</f>
        <v>C17+5</v>
      </c>
      <c r="AG42" s="107" t="str">
        <f>+IF($L$22=30,ebset!J118,ebset!T118)</f>
        <v>12+8</v>
      </c>
      <c r="AH42" s="107" t="str">
        <f>+IF($L$22=30,ebset!J125,ebset!T118)</f>
        <v>15+5</v>
      </c>
      <c r="AI42" s="107" t="str">
        <f>+seacbois!J118</f>
        <v>12+8</v>
      </c>
      <c r="AJ42" s="107"/>
      <c r="AK42" s="107"/>
      <c r="AL42" s="107"/>
    </row>
    <row r="43" spans="7:38" x14ac:dyDescent="0.2">
      <c r="G43" s="56"/>
      <c r="H43" s="57"/>
      <c r="I43" s="57"/>
      <c r="J43" s="57"/>
      <c r="K43" s="57"/>
      <c r="L43" s="57"/>
      <c r="M43" s="57"/>
      <c r="N43" s="57"/>
      <c r="O43" s="57"/>
      <c r="P43" s="71"/>
      <c r="Q43" s="57"/>
      <c r="R43" s="57"/>
      <c r="S43" s="58"/>
      <c r="T43" s="57"/>
      <c r="U43" s="59"/>
      <c r="AB43" s="107" t="s">
        <v>127</v>
      </c>
      <c r="AC43" s="107" t="str">
        <f>IF(AC42="hors limites","hors limite,voir SEACISOL",+"plancher"&amp;" "&amp;"POLYSEAC"&amp;" "&amp;AC42&amp;" "&amp;"UP"&amp;H18)</f>
        <v>plancher POLYSEAC 12+7 UP11</v>
      </c>
      <c r="AD43" s="107" t="str">
        <f>+"plancher"&amp;" "&amp;"EBS"&amp;" "&amp;AD42</f>
        <v>plancher EBS 12+8</v>
      </c>
      <c r="AE43" s="107" t="str">
        <f>+"plancher"&amp;" "&amp;"PLASTIVS"&amp;" "&amp;AE42</f>
        <v>plancher PLASTIVS 12+5</v>
      </c>
      <c r="AF43" s="107" t="str">
        <f>+"plancher"&amp;" "&amp;"SEACISOL"&amp;" "&amp;AF42</f>
        <v>plancher SEACISOL C17+5</v>
      </c>
      <c r="AG43" s="107" t="str">
        <f>+"plancher"&amp;" "&amp;"EBS"&amp;" "&amp;AG42</f>
        <v>plancher EBS 12+8</v>
      </c>
      <c r="AH43" s="107" t="str">
        <f>+"plancher"&amp;" "&amp;"PREDAL-SEACOUSTIC"&amp;" "&amp;AH42</f>
        <v>plancher PREDAL-SEACOUSTIC 15+5</v>
      </c>
      <c r="AI43" s="107" t="str">
        <f>+"plancher"&amp;" "&amp;"SEACBOIS"&amp;" "&amp;AI42</f>
        <v>plancher SEACBOIS 12+8</v>
      </c>
      <c r="AJ43" s="107"/>
      <c r="AK43" s="107"/>
      <c r="AL43" s="107"/>
    </row>
    <row r="44" spans="7:38" x14ac:dyDescent="0.2">
      <c r="G44" s="56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8"/>
      <c r="T44" s="57"/>
      <c r="U44" s="59"/>
      <c r="AB44" s="107" t="s">
        <v>71</v>
      </c>
      <c r="AC44" s="107">
        <f>+IF($S$19="avec etai",polyseac!J60,polyseac!T60)</f>
        <v>225</v>
      </c>
      <c r="AD44" s="107">
        <f>+IF($S$19="avec etai",ebsvs!J119,ebsvs!T119)</f>
        <v>257</v>
      </c>
      <c r="AE44" s="107">
        <f>+IF($S$19="avec etai",plastivs!J119,plastivs!T119)</f>
        <v>205</v>
      </c>
      <c r="AF44" s="107">
        <f>+IF($S$19="avec etai",seacisol!J68,seacisol!T68)</f>
        <v>174</v>
      </c>
      <c r="AG44" s="107">
        <f>+IF($L$22=30,ebset!J119,ebset!T119)</f>
        <v>257</v>
      </c>
      <c r="AH44" s="107">
        <f>+IF($L$22=30,ebset!J126,ebset!T119)</f>
        <v>211</v>
      </c>
      <c r="AI44" s="107">
        <f>+seacbois!J119</f>
        <v>255</v>
      </c>
      <c r="AJ44" s="107"/>
      <c r="AK44" s="107"/>
      <c r="AL44" s="107"/>
    </row>
    <row r="45" spans="7:38" x14ac:dyDescent="0.2">
      <c r="G45" s="56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8"/>
      <c r="T45" s="57"/>
      <c r="U45" s="59"/>
      <c r="AB45" s="107" t="s">
        <v>72</v>
      </c>
      <c r="AC45" s="107">
        <f>+IF($S$19="avec etai",polyseac!J61,polyseac!T61)</f>
        <v>82</v>
      </c>
      <c r="AD45" s="107">
        <f>+IF($S$19="avec etai",ebsvs!J120,ebsvs!T120)</f>
        <v>92.5</v>
      </c>
      <c r="AE45" s="107">
        <f>+IF($S$19="avec etai",plastivs!J120,plastivs!T120)</f>
        <v>71.5</v>
      </c>
      <c r="AF45" s="107">
        <f>+IF($S$19="avec etai",seacisol!J69,seacisol!T69)</f>
        <v>50</v>
      </c>
      <c r="AG45" s="107">
        <f>+IF($L$22=30,ebset!J120,ebset!T120)</f>
        <v>92.5</v>
      </c>
      <c r="AH45" s="107">
        <f>+IF($L$22=30,ebset!J127,ebset!T120)</f>
        <v>70</v>
      </c>
      <c r="AI45" s="107">
        <f>+seacbois!J120</f>
        <v>92</v>
      </c>
      <c r="AJ45" s="107"/>
      <c r="AK45" s="107"/>
      <c r="AL45" s="107"/>
    </row>
    <row r="46" spans="7:38" ht="13.5" thickBot="1" x14ac:dyDescent="0.25">
      <c r="G46" s="78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80"/>
      <c r="T46" s="79"/>
      <c r="U46" s="81"/>
      <c r="AB46" s="107" t="s">
        <v>274</v>
      </c>
      <c r="AC46" s="107">
        <f>+IF($S$19="avec etai",polyseac!J62,polyseac!T62)</f>
        <v>40.54</v>
      </c>
      <c r="AD46" s="107">
        <f>+IF($S$19="avec etai",ebsvs!J121,ebsvs!T121)</f>
        <v>20.759999999999998</v>
      </c>
      <c r="AE46" s="107">
        <f>+IF($S$19="avec etai",plastivs!J121,plastivs!T121)</f>
        <v>25.74</v>
      </c>
      <c r="AF46" s="107">
        <f>+IF($S$19="avec etai",seacisol!J70,seacisol!T70)</f>
        <v>27.44</v>
      </c>
      <c r="AG46" s="107">
        <f>+IF($L$22=30,ebset!J121,ebset!T121)</f>
        <v>20.759999999999998</v>
      </c>
      <c r="AH46" s="107">
        <f>+IF($L$22=30,ebset!J128,ebset!T121)</f>
        <v>0</v>
      </c>
      <c r="AI46" s="107">
        <f>+seacbois!J121</f>
        <v>28.94</v>
      </c>
      <c r="AJ46" s="107"/>
      <c r="AK46" s="107"/>
      <c r="AL46" s="107"/>
    </row>
    <row r="47" spans="7:38" ht="13.5" thickTop="1" x14ac:dyDescent="0.2">
      <c r="AB47" s="111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</row>
    <row r="48" spans="7:38" x14ac:dyDescent="0.2">
      <c r="AB48" s="107"/>
      <c r="AC48" s="107"/>
      <c r="AD48" s="107" t="str">
        <f>+IF(S19="avec etai",ebsvs!J106,ebsvs!T106)</f>
        <v>12+5 JUM</v>
      </c>
      <c r="AE48" s="107" t="str">
        <f>+IF($S$19="avec etai",plastivs!J106,plastivs!T106)</f>
        <v>12+5 JUM</v>
      </c>
      <c r="AF48" s="107"/>
      <c r="AG48" s="107" t="str">
        <f>+IF($L$22=30,ebset!J106,ebset!T106)</f>
        <v>15+5 JUM</v>
      </c>
      <c r="AH48" s="107" t="str">
        <f>+IF($L$22=30,ebset!J106,ebset!T106)</f>
        <v>15+5 JUM</v>
      </c>
      <c r="AI48" s="107" t="str">
        <f>+seacbois!J106</f>
        <v>12+5 JUM</v>
      </c>
      <c r="AJ48" s="107"/>
      <c r="AK48" s="107"/>
      <c r="AL48" s="107"/>
    </row>
    <row r="49" spans="28:38" x14ac:dyDescent="0.2">
      <c r="AB49" s="107" t="s">
        <v>87</v>
      </c>
      <c r="AC49" s="107" t="s">
        <v>102</v>
      </c>
      <c r="AD49" s="107" t="str">
        <f>+"plancher"&amp;" "&amp;"EBS"&amp;" "&amp;AD48</f>
        <v>plancher EBS 12+5 JUM</v>
      </c>
      <c r="AE49" s="107" t="str">
        <f>+"plancher"&amp;" "&amp;"PLASTIVS"&amp;" "&amp;AE48</f>
        <v>plancher PLASTIVS 12+5 JUM</v>
      </c>
      <c r="AF49" s="107" t="s">
        <v>102</v>
      </c>
      <c r="AG49" s="107" t="str">
        <f>+"plancher"&amp;" "&amp;"EBS"&amp;" "&amp;AG48</f>
        <v>plancher EBS 15+5 JUM</v>
      </c>
      <c r="AH49" s="107" t="str">
        <f>+"plancher"&amp;" "&amp;"PREDAL-SEACOUSTIC"&amp;" "&amp;AH48</f>
        <v>plancher PREDAL-SEACOUSTIC 15+5 JUM</v>
      </c>
      <c r="AI49" s="107" t="str">
        <f>+"plancher"&amp;" "&amp;"SEACBOIS"&amp;" "&amp;AI48</f>
        <v>plancher SEACBOIS 12+5 JUM</v>
      </c>
      <c r="AJ49" s="107"/>
      <c r="AK49" s="107"/>
      <c r="AL49" s="107"/>
    </row>
    <row r="50" spans="28:38" x14ac:dyDescent="0.2">
      <c r="AB50" s="107" t="s">
        <v>71</v>
      </c>
      <c r="AC50" s="107" t="s">
        <v>128</v>
      </c>
      <c r="AD50" s="107">
        <f>+IF(S19="avec etai",ebsvs!J107,ebsvs!T107)</f>
        <v>179</v>
      </c>
      <c r="AE50" s="107">
        <f>+IF($S$19="avec etai",plastivs!J107,plastivs!T107)</f>
        <v>236</v>
      </c>
      <c r="AF50" s="107" t="s">
        <v>128</v>
      </c>
      <c r="AG50" s="107">
        <f>+IF($L$22=30,ebset!J107,ebset!T107)</f>
        <v>253</v>
      </c>
      <c r="AH50" s="107">
        <f>+IF($L$22=30,ebset!J107,ebset!T107)</f>
        <v>253</v>
      </c>
      <c r="AI50" s="107">
        <f>+seacbois!J107</f>
        <v>220</v>
      </c>
      <c r="AJ50" s="107"/>
      <c r="AK50" s="107"/>
      <c r="AL50" s="107"/>
    </row>
    <row r="51" spans="28:38" x14ac:dyDescent="0.2">
      <c r="AB51" s="107" t="s">
        <v>72</v>
      </c>
      <c r="AC51" s="107" t="s">
        <v>128</v>
      </c>
      <c r="AD51" s="107">
        <f>+IF(S19="avec etai",ebsvs!J108,ebsvs!T108)</f>
        <v>61</v>
      </c>
      <c r="AE51" s="107">
        <f>+IF($S$19="avec etai",plastivs!J108,plastivs!T108)</f>
        <v>74</v>
      </c>
      <c r="AF51" s="107" t="s">
        <v>128</v>
      </c>
      <c r="AG51" s="107">
        <f>+IF($L$22=30,ebset!J108,ebset!T108)</f>
        <v>76</v>
      </c>
      <c r="AH51" s="107">
        <f>+IF($L$22=30,ebset!J108,ebset!T108)</f>
        <v>76</v>
      </c>
      <c r="AI51" s="107">
        <f>+seacbois!J108</f>
        <v>66</v>
      </c>
      <c r="AJ51" s="107"/>
    </row>
    <row r="52" spans="28:38" x14ac:dyDescent="0.2">
      <c r="AB52" s="107" t="s">
        <v>274</v>
      </c>
      <c r="AD52" s="107">
        <f>+IF(S20="avec etai",ebsvs!J109,ebsvs!T109)</f>
        <v>20.58</v>
      </c>
      <c r="AE52" s="107">
        <f>+IF($S$19="avec etai",plastivs!J109,plastivs!T109)</f>
        <v>26.99</v>
      </c>
      <c r="AG52" s="107">
        <f>+IF($L$22=30,ebset!J109,ebset!T109)</f>
        <v>21.47</v>
      </c>
      <c r="AH52" s="107">
        <f>+IF($L$22=30,ebset!J109,ebset!T109)</f>
        <v>21.47</v>
      </c>
      <c r="AI52" s="107">
        <f>+seacbois!J109</f>
        <v>25.78</v>
      </c>
    </row>
  </sheetData>
  <sheetProtection algorithmName="SHA-512" hashValue="PSYrcfRk3i7yHl5U5dEPgXLKCNwlZLb5C+EDWup1bhdeQ6Bbf8MYZ8nptuHoy71V9rhl0B9sh9SGTDedaNkeLA==" saltValue="xphixlRfpL3zyZquuQfpTA==" spinCount="100000" sheet="1" objects="1" scenarios="1" selectLockedCells="1"/>
  <mergeCells count="10">
    <mergeCell ref="P24:T24"/>
    <mergeCell ref="Q25:S25"/>
    <mergeCell ref="P36:T36"/>
    <mergeCell ref="Q37:S37"/>
    <mergeCell ref="Q23:S23"/>
    <mergeCell ref="P29:T29"/>
    <mergeCell ref="Q27:R27"/>
    <mergeCell ref="P26:R26"/>
    <mergeCell ref="P30:T30"/>
    <mergeCell ref="P34:R34"/>
  </mergeCells>
  <conditionalFormatting sqref="H17:H18">
    <cfRule type="expression" dxfId="18" priority="8">
      <formula>$AC$22=1</formula>
    </cfRule>
  </conditionalFormatting>
  <conditionalFormatting sqref="H18">
    <cfRule type="expression" dxfId="17" priority="7">
      <formula>$AC$22=1</formula>
    </cfRule>
  </conditionalFormatting>
  <conditionalFormatting sqref="L17:L18">
    <cfRule type="expression" dxfId="16" priority="6">
      <formula>$AC$22=4</formula>
    </cfRule>
  </conditionalFormatting>
  <conditionalFormatting sqref="L18">
    <cfRule type="expression" dxfId="15" priority="5">
      <formula>$AC$22=4</formula>
    </cfRule>
  </conditionalFormatting>
  <conditionalFormatting sqref="L20:L22">
    <cfRule type="expression" dxfId="14" priority="16">
      <formula>$AC$22&lt;5</formula>
    </cfRule>
  </conditionalFormatting>
  <conditionalFormatting sqref="L21">
    <cfRule type="expression" dxfId="13" priority="2">
      <formula>$AC$22=7</formula>
    </cfRule>
  </conditionalFormatting>
  <conditionalFormatting sqref="L22">
    <cfRule type="expression" dxfId="12" priority="4">
      <formula>$AC$22&gt;6</formula>
    </cfRule>
    <cfRule type="cellIs" dxfId="11" priority="22" operator="equal">
      <formula>30</formula>
    </cfRule>
  </conditionalFormatting>
  <conditionalFormatting sqref="M26:M29">
    <cfRule type="expression" dxfId="10" priority="12">
      <formula>$AC$22&gt;4</formula>
    </cfRule>
  </conditionalFormatting>
  <conditionalFormatting sqref="P34:P35">
    <cfRule type="expression" dxfId="9" priority="31">
      <formula>$S$34&lt;$S$10</formula>
    </cfRule>
  </conditionalFormatting>
  <conditionalFormatting sqref="P35:T40 P31:T32 P33:R33 T33 P34 S34:T34">
    <cfRule type="expression" dxfId="8" priority="13">
      <formula>$AC$20=FALSE</formula>
    </cfRule>
  </conditionalFormatting>
  <conditionalFormatting sqref="P35:T40">
    <cfRule type="expression" dxfId="7" priority="35">
      <formula>$S$34&lt;$S$10</formula>
    </cfRule>
  </conditionalFormatting>
  <conditionalFormatting sqref="P36:T40">
    <cfRule type="expression" dxfId="6" priority="10">
      <formula>$AK$20=0</formula>
    </cfRule>
  </conditionalFormatting>
  <conditionalFormatting sqref="Q19:S19">
    <cfRule type="expression" dxfId="5" priority="1">
      <formula>+$AC$22&gt;4</formula>
    </cfRule>
  </conditionalFormatting>
  <conditionalFormatting sqref="S12">
    <cfRule type="expression" dxfId="4" priority="21">
      <formula>$S$12&gt;500</formula>
    </cfRule>
  </conditionalFormatting>
  <conditionalFormatting sqref="S19">
    <cfRule type="containsText" dxfId="3" priority="23" operator="containsText" text="sans etai">
      <formula>NOT(ISERROR(SEARCH("sans etai",S19)))</formula>
    </cfRule>
  </conditionalFormatting>
  <conditionalFormatting sqref="S34">
    <cfRule type="expression" dxfId="2" priority="18">
      <formula>$S$34&lt;$S$10</formula>
    </cfRule>
  </conditionalFormatting>
  <conditionalFormatting sqref="T28">
    <cfRule type="expression" dxfId="1" priority="11">
      <formula>$AC$22=4</formula>
    </cfRule>
  </conditionalFormatting>
  <dataValidations count="7">
    <dataValidation type="list" allowBlank="1" showInputMessage="1" showErrorMessage="1" sqref="Q32" xr:uid="{A21837D2-BFE5-4B19-AF9B-C2117D9EC709}">
      <formula1>$AF$15:$AF$17</formula1>
    </dataValidation>
    <dataValidation type="list" allowBlank="1" showInputMessage="1" showErrorMessage="1" sqref="S32" xr:uid="{E4A44618-5D6B-47E9-903E-91D40EECABE9}">
      <formula1>$AH$15:$AH$18</formula1>
    </dataValidation>
    <dataValidation type="list" allowBlank="1" showInputMessage="1" showErrorMessage="1" sqref="S14" xr:uid="{32CD7148-F53B-40DC-A096-CECA90D75A4A}">
      <formula1>$AH$22:$AH$24</formula1>
    </dataValidation>
    <dataValidation type="list" allowBlank="1" showInputMessage="1" showErrorMessage="1" sqref="L22" xr:uid="{AC8CF5B9-9B65-42B5-B074-10DEF363A7C4}">
      <formula1>$AE$14:$AE$15</formula1>
    </dataValidation>
    <dataValidation type="list" allowBlank="1" showInputMessage="1" showErrorMessage="1" sqref="S19" xr:uid="{210853C2-A4BC-42F6-AEE1-4885E05B06F7}">
      <formula1>$AC$9:$AC$10</formula1>
    </dataValidation>
    <dataValidation type="list" allowBlank="1" showInputMessage="1" showErrorMessage="1" sqref="H18" xr:uid="{B5D71F20-C605-4A5D-9368-4E5A934021D8}">
      <formula1>$AO$7:$AO$12</formula1>
    </dataValidation>
    <dataValidation type="list" allowBlank="1" showInputMessage="1" showErrorMessage="1" sqref="L18" xr:uid="{34181279-D671-4CA9-8899-669774141F42}">
      <formula1>$AO$8:$AO$11</formula1>
    </dataValidation>
  </dataValidations>
  <pageMargins left="0.7" right="0.7" top="0.75" bottom="0.75" header="0.3" footer="0.3"/>
  <pageSetup paperSize="9" scale="77" orientation="landscape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84" r:id="rId5" name="Group Box 136">
              <controlPr defaultSize="0" autoFill="0" autoPict="0">
                <anchor moveWithCells="1" sizeWithCells="1">
                  <from>
                    <xdr:col>9</xdr:col>
                    <xdr:colOff>638175</xdr:colOff>
                    <xdr:row>21</xdr:row>
                    <xdr:rowOff>0</xdr:rowOff>
                  </from>
                  <to>
                    <xdr:col>14</xdr:col>
                    <xdr:colOff>95250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6" name="Group Box 29">
              <controlPr defaultSize="0" autoFill="0" autoPict="0">
                <anchor moveWithCells="1" sizeWithCells="1">
                  <from>
                    <xdr:col>7</xdr:col>
                    <xdr:colOff>638175</xdr:colOff>
                    <xdr:row>21</xdr:row>
                    <xdr:rowOff>0</xdr:rowOff>
                  </from>
                  <to>
                    <xdr:col>12</xdr:col>
                    <xdr:colOff>95250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7" name="Group Box 59">
              <controlPr defaultSize="0" autoFill="0" autoPict="0">
                <anchor moveWithCells="1" sizeWithCells="1">
                  <from>
                    <xdr:col>17</xdr:col>
                    <xdr:colOff>66675</xdr:colOff>
                    <xdr:row>15</xdr:row>
                    <xdr:rowOff>133350</xdr:rowOff>
                  </from>
                  <to>
                    <xdr:col>19</xdr:col>
                    <xdr:colOff>28575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8" name="Option Button 227">
              <controlPr defaultSize="0" autoFill="0" autoLine="0" autoPict="0">
                <anchor moveWithCells="1" sizeWithCells="1">
                  <from>
                    <xdr:col>7</xdr:col>
                    <xdr:colOff>304800</xdr:colOff>
                    <xdr:row>13</xdr:row>
                    <xdr:rowOff>161925</xdr:rowOff>
                  </from>
                  <to>
                    <xdr:col>7</xdr:col>
                    <xdr:colOff>609600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9" name="Option Button 228">
              <controlPr defaultSize="0" autoFill="0" autoLine="0" autoPict="0">
                <anchor moveWithCells="1" sizeWithCells="1">
                  <from>
                    <xdr:col>8</xdr:col>
                    <xdr:colOff>257175</xdr:colOff>
                    <xdr:row>13</xdr:row>
                    <xdr:rowOff>152400</xdr:rowOff>
                  </from>
                  <to>
                    <xdr:col>8</xdr:col>
                    <xdr:colOff>561975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0" name="Option Button 229">
              <controlPr defaultSize="0" autoFill="0" autoLine="0" autoPict="0">
                <anchor moveWithCells="1" sizeWithCells="1">
                  <from>
                    <xdr:col>9</xdr:col>
                    <xdr:colOff>371475</xdr:colOff>
                    <xdr:row>13</xdr:row>
                    <xdr:rowOff>152400</xdr:rowOff>
                  </from>
                  <to>
                    <xdr:col>9</xdr:col>
                    <xdr:colOff>676275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1" name="Option Button 230">
              <controlPr defaultSize="0" autoFill="0" autoLine="0" autoPict="0">
                <anchor moveWithCells="1" sizeWithCells="1">
                  <from>
                    <xdr:col>11</xdr:col>
                    <xdr:colOff>152400</xdr:colOff>
                    <xdr:row>13</xdr:row>
                    <xdr:rowOff>152400</xdr:rowOff>
                  </from>
                  <to>
                    <xdr:col>11</xdr:col>
                    <xdr:colOff>447675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2" name="Group Box 231">
              <controlPr defaultSize="0" autoFill="0" autoPict="0">
                <anchor moveWithCells="1" sizeWithCells="1">
                  <from>
                    <xdr:col>6</xdr:col>
                    <xdr:colOff>685800</xdr:colOff>
                    <xdr:row>7</xdr:row>
                    <xdr:rowOff>142875</xdr:rowOff>
                  </from>
                  <to>
                    <xdr:col>12</xdr:col>
                    <xdr:colOff>142875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3" name="Option Button 348">
              <controlPr defaultSize="0" autoFill="0" autoLine="0" autoPict="0">
                <anchor moveWithCells="1" sizeWithCells="1">
                  <from>
                    <xdr:col>17</xdr:col>
                    <xdr:colOff>209550</xdr:colOff>
                    <xdr:row>16</xdr:row>
                    <xdr:rowOff>19050</xdr:rowOff>
                  </from>
                  <to>
                    <xdr:col>18</xdr:col>
                    <xdr:colOff>238125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4" name="Option Button 350">
              <controlPr defaultSize="0" autoFill="0" autoLine="0" autoPict="0">
                <anchor moveWithCells="1" sizeWithCells="1">
                  <from>
                    <xdr:col>18</xdr:col>
                    <xdr:colOff>676275</xdr:colOff>
                    <xdr:row>16</xdr:row>
                    <xdr:rowOff>19050</xdr:rowOff>
                  </from>
                  <to>
                    <xdr:col>18</xdr:col>
                    <xdr:colOff>933450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5" name="Option Button 357">
              <controlPr defaultSize="0" autoFill="0" autoLine="0" autoPict="0">
                <anchor moveWithCells="1" sizeWithCells="1">
                  <from>
                    <xdr:col>7</xdr:col>
                    <xdr:colOff>238125</xdr:colOff>
                    <xdr:row>22</xdr:row>
                    <xdr:rowOff>57150</xdr:rowOff>
                  </from>
                  <to>
                    <xdr:col>7</xdr:col>
                    <xdr:colOff>542925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6" name="Option Button 358">
              <controlPr defaultSize="0" autoFill="0" autoLine="0" autoPict="0">
                <anchor moveWithCells="1" sizeWithCells="1">
                  <from>
                    <xdr:col>8</xdr:col>
                    <xdr:colOff>371475</xdr:colOff>
                    <xdr:row>22</xdr:row>
                    <xdr:rowOff>28575</xdr:rowOff>
                  </from>
                  <to>
                    <xdr:col>8</xdr:col>
                    <xdr:colOff>666750</xdr:colOff>
                    <xdr:row>23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17" name="Option Button 527">
              <controlPr defaultSize="0" autoFill="0" autoLine="0" autoPict="0" altText="NON">
                <anchor moveWithCells="1">
                  <from>
                    <xdr:col>18</xdr:col>
                    <xdr:colOff>19050</xdr:colOff>
                    <xdr:row>20</xdr:row>
                    <xdr:rowOff>28575</xdr:rowOff>
                  </from>
                  <to>
                    <xdr:col>18</xdr:col>
                    <xdr:colOff>409575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18" name="Option Button 534">
              <controlPr defaultSize="0" autoFill="0" autoLine="0" autoPict="0" altText="NON">
                <anchor moveWithCells="1">
                  <from>
                    <xdr:col>18</xdr:col>
                    <xdr:colOff>714375</xdr:colOff>
                    <xdr:row>20</xdr:row>
                    <xdr:rowOff>28575</xdr:rowOff>
                  </from>
                  <to>
                    <xdr:col>19</xdr:col>
                    <xdr:colOff>95250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19" name="Option Button 1093">
              <controlPr defaultSize="0" autoFill="0" autoLine="0" autoPict="0">
                <anchor moveWithCells="1" sizeWithCells="1">
                  <from>
                    <xdr:col>9</xdr:col>
                    <xdr:colOff>609600</xdr:colOff>
                    <xdr:row>22</xdr:row>
                    <xdr:rowOff>0</xdr:rowOff>
                  </from>
                  <to>
                    <xdr:col>10</xdr:col>
                    <xdr:colOff>19050</xdr:colOff>
                    <xdr:row>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20" name="Check Box 1181">
              <controlPr defaultSize="0" autoFill="0" autoLine="0" autoPict="0">
                <anchor moveWithCells="1">
                  <from>
                    <xdr:col>19</xdr:col>
                    <xdr:colOff>419100</xdr:colOff>
                    <xdr:row>29</xdr:row>
                    <xdr:rowOff>47625</xdr:rowOff>
                  </from>
                  <to>
                    <xdr:col>19</xdr:col>
                    <xdr:colOff>657225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21" name="Option Button 1210">
              <controlPr defaultSize="0" autoFill="0" autoLine="0" autoPict="0">
                <anchor moveWithCells="1" sizeWithCells="1">
                  <from>
                    <xdr:col>10</xdr:col>
                    <xdr:colOff>438150</xdr:colOff>
                    <xdr:row>22</xdr:row>
                    <xdr:rowOff>9525</xdr:rowOff>
                  </from>
                  <to>
                    <xdr:col>10</xdr:col>
                    <xdr:colOff>733425</xdr:colOff>
                    <xdr:row>23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EFCAE-C850-4882-9E6C-32C206DE4BA9}">
  <dimension ref="B4:C18"/>
  <sheetViews>
    <sheetView topLeftCell="A10" zoomScale="160" zoomScaleNormal="160" workbookViewId="0">
      <selection activeCell="E12" sqref="E12"/>
    </sheetView>
  </sheetViews>
  <sheetFormatPr baseColWidth="10" defaultRowHeight="12.75" x14ac:dyDescent="0.2"/>
  <cols>
    <col min="2" max="14" width="30.7109375" customWidth="1"/>
  </cols>
  <sheetData>
    <row r="4" spans="2:3" x14ac:dyDescent="0.2">
      <c r="B4" t="s">
        <v>51</v>
      </c>
      <c r="C4" t="s">
        <v>52</v>
      </c>
    </row>
    <row r="5" spans="2:3" ht="99.95" customHeight="1" x14ac:dyDescent="0.2">
      <c r="B5">
        <v>1</v>
      </c>
    </row>
    <row r="6" spans="2:3" ht="99.95" customHeight="1" x14ac:dyDescent="0.2">
      <c r="B6">
        <v>2</v>
      </c>
    </row>
    <row r="7" spans="2:3" ht="99.95" customHeight="1" x14ac:dyDescent="0.2">
      <c r="B7">
        <v>3</v>
      </c>
    </row>
    <row r="8" spans="2:3" ht="99.95" customHeight="1" x14ac:dyDescent="0.2">
      <c r="B8">
        <v>4</v>
      </c>
    </row>
    <row r="9" spans="2:3" ht="99.95" customHeight="1" x14ac:dyDescent="0.2">
      <c r="B9">
        <v>5</v>
      </c>
    </row>
    <row r="10" spans="2:3" ht="99.95" customHeight="1" x14ac:dyDescent="0.2">
      <c r="B10">
        <v>6</v>
      </c>
    </row>
    <row r="11" spans="2:3" ht="99.95" customHeight="1" x14ac:dyDescent="0.2">
      <c r="B11">
        <v>7</v>
      </c>
    </row>
    <row r="12" spans="2:3" ht="99.95" customHeight="1" x14ac:dyDescent="0.2"/>
    <row r="13" spans="2:3" ht="99.95" customHeight="1" x14ac:dyDescent="0.2"/>
    <row r="14" spans="2:3" ht="99.95" customHeight="1" x14ac:dyDescent="0.2"/>
    <row r="15" spans="2:3" ht="99.95" customHeight="1" x14ac:dyDescent="0.2"/>
    <row r="16" spans="2:3" ht="99.95" customHeight="1" x14ac:dyDescent="0.2"/>
    <row r="17" ht="99.95" customHeight="1" x14ac:dyDescent="0.2"/>
    <row r="18" ht="99.95" customHeight="1" x14ac:dyDescent="0.2"/>
  </sheetData>
  <sheetProtection algorithmName="SHA-512" hashValue="LpYPg5KDxmdXu5kaLIerUgOkyo81rZSKO/Ns5yk0i/dLYrO4ELcTEuzvhlk2xYAk02qDfFhbV3SpwdFAdaLlxQ==" saltValue="Jo4Bl0olJrkORC7jx5MEAQ==" spinCount="100000" sheet="1" objects="1" scenarios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9EEDF-874F-4A32-9FC9-E7D9D6639B1F}">
  <dimension ref="A1:JA424"/>
  <sheetViews>
    <sheetView showGridLines="0" showRowColHeaders="0" zoomScaleNormal="100" workbookViewId="0">
      <selection activeCell="D17" sqref="D17"/>
    </sheetView>
  </sheetViews>
  <sheetFormatPr baseColWidth="10" defaultColWidth="10.85546875" defaultRowHeight="12.75" x14ac:dyDescent="0.2"/>
  <cols>
    <col min="3" max="3" width="4.28515625" customWidth="1"/>
    <col min="4" max="4" width="33.42578125" customWidth="1"/>
    <col min="5" max="5" width="5.7109375" customWidth="1"/>
    <col min="6" max="6" width="7.28515625" hidden="1" customWidth="1"/>
    <col min="7" max="7" width="6.7109375" hidden="1" customWidth="1"/>
    <col min="8" max="8" width="24.28515625" customWidth="1"/>
    <col min="9" max="9" width="8.7109375" hidden="1" customWidth="1"/>
    <col min="10" max="10" width="14.7109375" style="49" customWidth="1"/>
    <col min="11" max="11" width="8.7109375" hidden="1" customWidth="1"/>
    <col min="12" max="12" width="18.7109375" customWidth="1"/>
    <col min="13" max="13" width="10.7109375" customWidth="1"/>
    <col min="14" max="14" width="7.140625" style="49" hidden="1" customWidth="1"/>
    <col min="15" max="15" width="8.7109375" hidden="1" customWidth="1"/>
    <col min="16" max="16" width="6.7109375" hidden="1" customWidth="1"/>
    <col min="17" max="17" width="8.5703125" customWidth="1"/>
    <col min="19" max="19" width="10.85546875" customWidth="1"/>
    <col min="20" max="20" width="10.85546875" hidden="1" customWidth="1"/>
    <col min="21" max="21" width="25.7109375" hidden="1" customWidth="1"/>
    <col min="22" max="22" width="20.7109375" hidden="1" customWidth="1"/>
    <col min="23" max="23" width="26.42578125" hidden="1" customWidth="1"/>
    <col min="24" max="24" width="11.42578125" hidden="1" customWidth="1"/>
    <col min="25" max="32" width="10.85546875" hidden="1" customWidth="1"/>
    <col min="33" max="33" width="22.28515625" hidden="1" customWidth="1"/>
    <col min="34" max="35" width="10.85546875" hidden="1" customWidth="1"/>
    <col min="36" max="36" width="19.28515625" hidden="1" customWidth="1"/>
    <col min="37" max="37" width="26.7109375" hidden="1" customWidth="1"/>
    <col min="38" max="55" width="10.85546875" hidden="1" customWidth="1"/>
    <col min="56" max="56" width="0" hidden="1" customWidth="1"/>
  </cols>
  <sheetData>
    <row r="1" spans="1:261" x14ac:dyDescent="0.2">
      <c r="A1" s="104"/>
      <c r="B1" s="104"/>
      <c r="C1" s="104"/>
      <c r="D1" s="104"/>
      <c r="E1" s="104"/>
      <c r="F1" s="104"/>
      <c r="G1" s="104"/>
      <c r="H1" s="104"/>
      <c r="I1" s="104"/>
      <c r="J1" s="151"/>
      <c r="K1" s="104"/>
      <c r="L1" s="104"/>
      <c r="M1" s="104"/>
      <c r="N1" s="151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  <c r="AQ1" s="104"/>
      <c r="AR1" s="104"/>
      <c r="AS1" s="104"/>
      <c r="AT1" s="104"/>
      <c r="AU1" s="104"/>
      <c r="AV1" s="104"/>
      <c r="AW1" s="104"/>
      <c r="AX1" s="104"/>
      <c r="AY1" s="104"/>
      <c r="AZ1" s="104"/>
      <c r="BA1" s="104"/>
      <c r="BB1" s="104"/>
      <c r="BC1" s="104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</row>
    <row r="2" spans="1:261" x14ac:dyDescent="0.2">
      <c r="A2" s="104"/>
      <c r="B2" s="104"/>
      <c r="C2" s="104"/>
      <c r="D2" s="104"/>
      <c r="E2" s="104"/>
      <c r="F2" s="104"/>
      <c r="G2" s="104"/>
      <c r="H2" s="104"/>
      <c r="I2" s="104"/>
      <c r="J2" s="151"/>
      <c r="K2" s="104"/>
      <c r="L2" s="104"/>
      <c r="M2" s="104"/>
      <c r="N2" s="151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</row>
    <row r="3" spans="1:261" ht="20.100000000000001" customHeight="1" x14ac:dyDescent="0.2">
      <c r="A3" s="104"/>
      <c r="B3" s="104"/>
      <c r="C3" s="104"/>
      <c r="D3" s="104"/>
      <c r="E3" s="104"/>
      <c r="F3" s="104"/>
      <c r="G3" s="104"/>
      <c r="H3" s="104"/>
      <c r="I3" s="104"/>
      <c r="J3" s="151"/>
      <c r="K3" s="104"/>
      <c r="L3" s="104"/>
      <c r="M3" s="104"/>
      <c r="N3" s="151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  <c r="AU3" s="104"/>
      <c r="AV3" s="104"/>
      <c r="AW3" s="104"/>
      <c r="AX3" s="104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4"/>
      <c r="CW3" s="104"/>
      <c r="CX3" s="104"/>
      <c r="CY3" s="104"/>
      <c r="CZ3" s="104"/>
      <c r="DA3" s="104"/>
      <c r="DB3" s="104"/>
      <c r="DC3" s="104"/>
      <c r="DD3" s="104"/>
      <c r="DE3" s="104"/>
      <c r="DF3" s="104"/>
      <c r="DG3" s="104"/>
      <c r="DH3" s="104"/>
      <c r="DI3" s="104"/>
      <c r="DJ3" s="104"/>
      <c r="DK3" s="104"/>
      <c r="DL3" s="104"/>
      <c r="DM3" s="104"/>
      <c r="DN3" s="104"/>
      <c r="DO3" s="104"/>
      <c r="DP3" s="104"/>
      <c r="DQ3" s="104"/>
      <c r="DR3" s="104"/>
      <c r="DS3" s="104"/>
      <c r="DT3" s="104"/>
      <c r="DU3" s="104"/>
      <c r="DV3" s="104"/>
      <c r="DW3" s="104"/>
      <c r="DX3" s="104"/>
    </row>
    <row r="4" spans="1:261" x14ac:dyDescent="0.2">
      <c r="A4" s="104"/>
      <c r="B4" s="104"/>
      <c r="C4" s="104"/>
      <c r="D4" s="104"/>
      <c r="E4" s="104"/>
      <c r="F4" s="104"/>
      <c r="G4" s="104"/>
      <c r="H4" s="104"/>
      <c r="I4" s="104"/>
      <c r="J4" s="151"/>
      <c r="K4" s="104"/>
      <c r="L4" s="104"/>
      <c r="M4" s="104"/>
      <c r="N4" s="15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</row>
    <row r="5" spans="1:261" ht="20.100000000000001" customHeight="1" x14ac:dyDescent="0.2">
      <c r="A5" s="104"/>
      <c r="B5" s="263"/>
      <c r="C5" s="263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  <c r="HY5" s="104"/>
      <c r="HZ5" s="104"/>
      <c r="IA5" s="104"/>
      <c r="IB5" s="104"/>
      <c r="IC5" s="104"/>
      <c r="ID5" s="104"/>
      <c r="IE5" s="104"/>
      <c r="IF5" s="104"/>
      <c r="IG5" s="104"/>
      <c r="IH5" s="104"/>
      <c r="II5" s="104"/>
      <c r="IJ5" s="104"/>
      <c r="IK5" s="104"/>
      <c r="IL5" s="104"/>
      <c r="IM5" s="104"/>
      <c r="IN5" s="104"/>
      <c r="IO5" s="104"/>
      <c r="IP5" s="104"/>
      <c r="IQ5" s="104"/>
      <c r="IR5" s="104"/>
      <c r="IS5" s="104"/>
      <c r="IT5" s="104"/>
      <c r="IU5" s="104"/>
      <c r="IV5" s="104"/>
      <c r="IW5" s="104"/>
      <c r="IX5" s="104"/>
      <c r="IY5" s="104"/>
      <c r="IZ5" s="104"/>
      <c r="JA5" s="104"/>
    </row>
    <row r="6" spans="1:261" x14ac:dyDescent="0.2">
      <c r="A6" s="104"/>
      <c r="B6" s="104"/>
      <c r="C6" s="104"/>
      <c r="D6" s="104"/>
      <c r="E6" s="104"/>
      <c r="F6" s="104"/>
      <c r="G6" s="104"/>
      <c r="H6" s="104"/>
      <c r="I6" s="104"/>
      <c r="J6" s="151"/>
      <c r="K6" s="104"/>
      <c r="L6" s="104"/>
      <c r="M6" s="104"/>
      <c r="N6" s="151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  <c r="GD6" s="104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  <c r="HY6" s="104"/>
      <c r="HZ6" s="104"/>
      <c r="IA6" s="104"/>
      <c r="IB6" s="104"/>
      <c r="IC6" s="104"/>
      <c r="ID6" s="104"/>
      <c r="IE6" s="104"/>
      <c r="IF6" s="104"/>
      <c r="IG6" s="104"/>
      <c r="IH6" s="104"/>
      <c r="II6" s="104"/>
      <c r="IJ6" s="104"/>
      <c r="IK6" s="104"/>
      <c r="IL6" s="104"/>
      <c r="IM6" s="104"/>
      <c r="IN6" s="104"/>
      <c r="IO6" s="104"/>
      <c r="IP6" s="104"/>
      <c r="IQ6" s="104"/>
      <c r="IR6" s="104"/>
      <c r="IS6" s="104"/>
      <c r="IT6" s="104"/>
      <c r="IU6" s="104"/>
      <c r="IV6" s="104"/>
      <c r="IW6" s="104"/>
      <c r="IX6" s="104"/>
      <c r="IY6" s="104"/>
      <c r="IZ6" s="104"/>
      <c r="JA6" s="104"/>
    </row>
    <row r="7" spans="1:261" x14ac:dyDescent="0.2">
      <c r="A7" s="104"/>
      <c r="B7" s="104"/>
      <c r="C7" s="104"/>
      <c r="D7" s="104"/>
      <c r="E7" s="104"/>
      <c r="F7" s="104"/>
      <c r="G7" s="104"/>
      <c r="H7" s="104"/>
      <c r="I7" s="104"/>
      <c r="J7" s="151"/>
      <c r="K7" s="104"/>
      <c r="L7" s="104"/>
      <c r="M7" s="104"/>
      <c r="N7" s="151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04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  <c r="FU7" s="104"/>
      <c r="FV7" s="104"/>
      <c r="FW7" s="104"/>
      <c r="FX7" s="104"/>
      <c r="FY7" s="104"/>
      <c r="FZ7" s="104"/>
      <c r="GA7" s="104"/>
      <c r="GB7" s="104"/>
      <c r="GC7" s="104"/>
      <c r="GD7" s="104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  <c r="HX7" s="104"/>
      <c r="HY7" s="104"/>
      <c r="HZ7" s="104"/>
      <c r="IA7" s="104"/>
      <c r="IB7" s="104"/>
      <c r="IC7" s="104"/>
      <c r="ID7" s="104"/>
      <c r="IE7" s="104"/>
      <c r="IF7" s="104"/>
      <c r="IG7" s="104"/>
      <c r="IH7" s="104"/>
      <c r="II7" s="104"/>
      <c r="IJ7" s="104"/>
      <c r="IK7" s="104"/>
      <c r="IL7" s="104"/>
      <c r="IM7" s="104"/>
      <c r="IN7" s="104"/>
      <c r="IO7" s="104"/>
      <c r="IP7" s="104"/>
      <c r="IQ7" s="104"/>
      <c r="IR7" s="104"/>
      <c r="IS7" s="104"/>
      <c r="IT7" s="104"/>
      <c r="IU7" s="104"/>
      <c r="IV7" s="104"/>
      <c r="IW7" s="104"/>
      <c r="IX7" s="104"/>
      <c r="IY7" s="104"/>
      <c r="IZ7" s="104"/>
      <c r="JA7" s="104"/>
    </row>
    <row r="8" spans="1:261" x14ac:dyDescent="0.2">
      <c r="A8" s="104"/>
      <c r="B8" s="104"/>
      <c r="C8" s="104"/>
      <c r="D8" s="104"/>
      <c r="E8" s="104"/>
      <c r="F8" s="104"/>
      <c r="G8" s="104"/>
      <c r="H8" s="104"/>
      <c r="I8" s="104"/>
      <c r="J8" s="151"/>
      <c r="K8" s="104"/>
      <c r="L8" s="104"/>
      <c r="M8" s="104"/>
      <c r="N8" s="151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  <c r="FL8" s="104"/>
      <c r="FM8" s="104"/>
      <c r="FN8" s="104"/>
      <c r="FO8" s="104"/>
      <c r="FP8" s="104"/>
      <c r="FQ8" s="104"/>
      <c r="FR8" s="104"/>
      <c r="FS8" s="104"/>
      <c r="FT8" s="104"/>
      <c r="FU8" s="104"/>
      <c r="FV8" s="104"/>
      <c r="FW8" s="104"/>
      <c r="FX8" s="104"/>
      <c r="FY8" s="104"/>
      <c r="FZ8" s="104"/>
      <c r="GA8" s="104"/>
      <c r="GB8" s="104"/>
      <c r="GC8" s="104"/>
      <c r="GD8" s="104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  <c r="IV8" s="104"/>
      <c r="IW8" s="104"/>
      <c r="IX8" s="104"/>
      <c r="IY8" s="104"/>
      <c r="IZ8" s="104"/>
      <c r="JA8" s="104"/>
    </row>
    <row r="9" spans="1:261" ht="15" x14ac:dyDescent="0.25">
      <c r="A9" s="104"/>
      <c r="B9" s="152"/>
      <c r="C9" s="104"/>
      <c r="D9" s="104"/>
      <c r="E9" s="104"/>
      <c r="F9" s="104"/>
      <c r="G9" s="104"/>
      <c r="H9" s="104"/>
      <c r="I9" s="104"/>
      <c r="J9" s="151"/>
      <c r="K9" s="104"/>
      <c r="L9" s="104"/>
      <c r="M9" s="104"/>
      <c r="N9" s="151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  <c r="AU9" s="104"/>
      <c r="AV9" s="104"/>
      <c r="AW9" s="104"/>
      <c r="AX9" s="104"/>
      <c r="AY9" s="104"/>
      <c r="AZ9" s="104"/>
      <c r="BA9" s="104"/>
      <c r="BB9" s="104"/>
      <c r="BC9" s="104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/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  <c r="DY9" s="104"/>
      <c r="DZ9" s="104"/>
      <c r="EA9" s="104"/>
      <c r="EB9" s="104"/>
      <c r="EC9" s="104"/>
      <c r="ED9" s="104"/>
      <c r="EE9" s="104"/>
      <c r="EF9" s="104"/>
      <c r="EG9" s="104"/>
      <c r="EH9" s="104"/>
      <c r="EI9" s="104"/>
      <c r="EJ9" s="104"/>
      <c r="EK9" s="104"/>
      <c r="EL9" s="104"/>
      <c r="EM9" s="104"/>
      <c r="EN9" s="104"/>
      <c r="EO9" s="104"/>
      <c r="EP9" s="104"/>
      <c r="EQ9" s="104"/>
      <c r="ER9" s="104"/>
      <c r="ES9" s="104"/>
      <c r="ET9" s="104"/>
      <c r="EU9" s="104"/>
      <c r="EV9" s="104"/>
      <c r="EW9" s="104"/>
      <c r="EX9" s="104"/>
      <c r="EY9" s="104"/>
      <c r="EZ9" s="104"/>
      <c r="FA9" s="104"/>
      <c r="FB9" s="104"/>
      <c r="FC9" s="104"/>
      <c r="FD9" s="104"/>
      <c r="FE9" s="104"/>
      <c r="FF9" s="104"/>
      <c r="FG9" s="104"/>
      <c r="FH9" s="104"/>
      <c r="FI9" s="104"/>
      <c r="FJ9" s="104"/>
      <c r="FK9" s="104"/>
      <c r="FL9" s="104"/>
      <c r="FM9" s="104"/>
      <c r="FN9" s="104"/>
      <c r="FO9" s="104"/>
      <c r="FP9" s="104"/>
      <c r="FQ9" s="104"/>
      <c r="FR9" s="104"/>
      <c r="FS9" s="104"/>
      <c r="FT9" s="104"/>
      <c r="FU9" s="104"/>
      <c r="FV9" s="104"/>
      <c r="FW9" s="104"/>
      <c r="FX9" s="104"/>
      <c r="FY9" s="104"/>
      <c r="FZ9" s="104"/>
      <c r="GA9" s="104"/>
      <c r="GB9" s="104"/>
      <c r="GC9" s="104"/>
      <c r="GD9" s="104"/>
      <c r="GE9" s="104"/>
      <c r="GF9" s="104"/>
      <c r="GG9" s="104"/>
      <c r="GH9" s="104"/>
      <c r="GI9" s="104"/>
      <c r="GJ9" s="104"/>
      <c r="GK9" s="104"/>
      <c r="GL9" s="104"/>
      <c r="GM9" s="104"/>
      <c r="GN9" s="104"/>
      <c r="GO9" s="104"/>
      <c r="GP9" s="104"/>
      <c r="GQ9" s="104"/>
      <c r="GR9" s="104"/>
      <c r="GS9" s="104"/>
      <c r="GT9" s="104"/>
      <c r="GU9" s="104"/>
      <c r="GV9" s="104"/>
      <c r="GW9" s="104"/>
      <c r="GX9" s="104"/>
      <c r="GY9" s="104"/>
      <c r="GZ9" s="104"/>
      <c r="HA9" s="104"/>
      <c r="HB9" s="104"/>
      <c r="HC9" s="104"/>
      <c r="HD9" s="104"/>
      <c r="HE9" s="104"/>
      <c r="HF9" s="104"/>
      <c r="HG9" s="104"/>
      <c r="HH9" s="104"/>
      <c r="HI9" s="104"/>
      <c r="HJ9" s="104"/>
      <c r="HK9" s="104"/>
      <c r="HL9" s="104"/>
      <c r="HM9" s="104"/>
      <c r="HN9" s="104"/>
      <c r="HO9" s="104"/>
      <c r="HP9" s="104"/>
      <c r="HQ9" s="104"/>
      <c r="HR9" s="104"/>
      <c r="HS9" s="104"/>
      <c r="HT9" s="104"/>
      <c r="HU9" s="104"/>
      <c r="HV9" s="104"/>
      <c r="HW9" s="104"/>
      <c r="HX9" s="104"/>
      <c r="HY9" s="104"/>
      <c r="HZ9" s="104"/>
      <c r="IA9" s="104"/>
      <c r="IB9" s="104"/>
      <c r="IC9" s="104"/>
      <c r="ID9" s="104"/>
      <c r="IE9" s="104"/>
      <c r="IF9" s="104"/>
      <c r="IG9" s="104"/>
      <c r="IH9" s="104"/>
      <c r="II9" s="104"/>
      <c r="IJ9" s="104"/>
      <c r="IK9" s="104"/>
      <c r="IL9" s="104"/>
      <c r="IM9" s="104"/>
      <c r="IN9" s="104"/>
      <c r="IO9" s="104"/>
      <c r="IP9" s="104"/>
      <c r="IQ9" s="104"/>
      <c r="IR9" s="104"/>
      <c r="IS9" s="104"/>
      <c r="IT9" s="104"/>
      <c r="IU9" s="104"/>
      <c r="IV9" s="104"/>
      <c r="IW9" s="104"/>
      <c r="IX9" s="104"/>
      <c r="IY9" s="104"/>
      <c r="IZ9" s="104"/>
      <c r="JA9" s="104"/>
    </row>
    <row r="10" spans="1:261" ht="18.75" x14ac:dyDescent="0.3">
      <c r="A10" s="104"/>
      <c r="B10" s="153"/>
      <c r="C10" s="104"/>
      <c r="D10" s="104"/>
      <c r="E10" s="104"/>
      <c r="F10" s="104"/>
      <c r="G10" s="154"/>
      <c r="H10" s="104"/>
      <c r="I10" s="154"/>
      <c r="J10" s="155"/>
      <c r="K10" s="154"/>
      <c r="L10" s="154"/>
      <c r="M10" s="154"/>
      <c r="N10" s="154"/>
      <c r="O10" s="15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51" t="s">
        <v>167</v>
      </c>
      <c r="AI10" s="151" t="s">
        <v>168</v>
      </c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4"/>
      <c r="AV10" s="104"/>
      <c r="AW10" s="104"/>
      <c r="AX10" s="104"/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</row>
    <row r="11" spans="1:261" x14ac:dyDescent="0.2">
      <c r="A11" s="104"/>
      <c r="B11" s="104"/>
      <c r="C11" s="104"/>
      <c r="D11" s="104"/>
      <c r="E11" s="104"/>
      <c r="F11" s="104"/>
      <c r="G11" s="265"/>
      <c r="H11" s="265"/>
      <c r="I11" s="104"/>
      <c r="J11" s="151"/>
      <c r="K11" s="104"/>
      <c r="L11" s="104"/>
      <c r="M11" s="104"/>
      <c r="N11" s="151"/>
      <c r="O11" s="104"/>
      <c r="P11" s="104"/>
      <c r="Q11" s="104"/>
      <c r="R11" s="104"/>
      <c r="S11" s="104"/>
      <c r="T11" s="104"/>
      <c r="U11" s="104"/>
      <c r="V11" s="104"/>
      <c r="W11" s="104"/>
      <c r="X11" s="104" t="s">
        <v>280</v>
      </c>
      <c r="Y11" s="104"/>
      <c r="Z11" s="104"/>
      <c r="AA11" s="104"/>
      <c r="AB11" s="104"/>
      <c r="AC11" s="156" t="s">
        <v>169</v>
      </c>
      <c r="AD11" s="156"/>
      <c r="AE11" s="156"/>
      <c r="AF11" s="156"/>
      <c r="AG11" s="156"/>
      <c r="AH11" s="104">
        <v>8.94</v>
      </c>
      <c r="AI11" s="157">
        <v>2.6</v>
      </c>
      <c r="AJ11" s="104"/>
      <c r="AK11" s="104" t="s">
        <v>170</v>
      </c>
      <c r="AL11" s="104"/>
      <c r="AM11" s="104">
        <v>4.26</v>
      </c>
      <c r="AN11" s="158">
        <v>1.3</v>
      </c>
      <c r="AO11" s="104" t="s">
        <v>171</v>
      </c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  <c r="DY11" s="104"/>
      <c r="DZ11" s="104"/>
      <c r="EA11" s="104"/>
      <c r="EB11" s="104"/>
      <c r="EC11" s="104"/>
      <c r="ED11" s="104"/>
      <c r="EE11" s="104"/>
      <c r="EF11" s="104"/>
      <c r="EG11" s="104"/>
      <c r="EH11" s="104"/>
      <c r="EI11" s="104"/>
      <c r="EJ11" s="104"/>
      <c r="EK11" s="104"/>
      <c r="EL11" s="104"/>
      <c r="EM11" s="104"/>
      <c r="EN11" s="104"/>
      <c r="EO11" s="104"/>
      <c r="EP11" s="104"/>
      <c r="EQ11" s="104"/>
      <c r="ER11" s="104"/>
      <c r="ES11" s="104"/>
      <c r="ET11" s="104"/>
      <c r="EU11" s="104"/>
      <c r="EV11" s="104"/>
      <c r="EW11" s="104"/>
      <c r="EX11" s="104"/>
      <c r="EY11" s="104"/>
      <c r="EZ11" s="104"/>
      <c r="FA11" s="104"/>
      <c r="FB11" s="104"/>
      <c r="FC11" s="104"/>
      <c r="FD11" s="104"/>
      <c r="FE11" s="104"/>
      <c r="FF11" s="104"/>
      <c r="FG11" s="104"/>
      <c r="FH11" s="104"/>
      <c r="FI11" s="104"/>
      <c r="FJ11" s="104"/>
      <c r="FK11" s="104"/>
      <c r="FL11" s="104"/>
      <c r="FM11" s="104"/>
      <c r="FN11" s="104"/>
      <c r="FO11" s="104"/>
      <c r="FP11" s="104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</row>
    <row r="12" spans="1:261" ht="15.75" thickBot="1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51"/>
      <c r="K12" s="104"/>
      <c r="L12" s="104"/>
      <c r="M12" s="104"/>
      <c r="N12" s="151"/>
      <c r="O12" s="104"/>
      <c r="P12" s="104"/>
      <c r="Q12" s="104"/>
      <c r="R12" s="104"/>
      <c r="S12" s="104"/>
      <c r="T12" s="104"/>
      <c r="U12" s="104"/>
      <c r="V12" s="104"/>
      <c r="W12" s="104"/>
      <c r="X12" s="104" t="s">
        <v>281</v>
      </c>
      <c r="Y12" s="104"/>
      <c r="Z12" s="104"/>
      <c r="AA12" s="104"/>
      <c r="AB12" s="104"/>
      <c r="AC12" s="156" t="s">
        <v>172</v>
      </c>
      <c r="AD12" s="156"/>
      <c r="AE12" s="156"/>
      <c r="AF12" s="156"/>
      <c r="AG12" s="156"/>
      <c r="AH12" s="104">
        <v>12.1</v>
      </c>
      <c r="AI12" s="157">
        <v>3.7</v>
      </c>
      <c r="AJ12" s="104"/>
      <c r="AK12" s="104" t="s">
        <v>173</v>
      </c>
      <c r="AL12" s="104"/>
      <c r="AM12" s="104">
        <v>6.48</v>
      </c>
      <c r="AN12" s="158">
        <v>2.2000000000000002</v>
      </c>
      <c r="AO12" s="104" t="s">
        <v>174</v>
      </c>
      <c r="AP12" s="104"/>
      <c r="AQ12" s="104"/>
      <c r="AR12" s="104"/>
      <c r="AS12" s="104"/>
      <c r="AT12" s="159"/>
      <c r="AU12" s="160" t="s">
        <v>175</v>
      </c>
      <c r="AV12" s="160" t="s">
        <v>176</v>
      </c>
      <c r="AW12" s="160" t="s">
        <v>177</v>
      </c>
      <c r="AX12" s="160" t="s">
        <v>178</v>
      </c>
      <c r="AY12" s="160" t="s">
        <v>179</v>
      </c>
      <c r="AZ12" s="160" t="s">
        <v>180</v>
      </c>
      <c r="BA12" s="159" t="s">
        <v>181</v>
      </c>
      <c r="BB12" s="159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  <c r="IW12" s="104"/>
      <c r="IX12" s="104"/>
      <c r="IY12" s="104"/>
      <c r="IZ12" s="104"/>
      <c r="JA12" s="104"/>
    </row>
    <row r="13" spans="1:261" ht="15" x14ac:dyDescent="0.25">
      <c r="A13" s="104"/>
      <c r="B13" s="104"/>
      <c r="C13" s="202"/>
      <c r="D13" s="203"/>
      <c r="E13" s="203" t="s">
        <v>357</v>
      </c>
      <c r="F13" s="203"/>
      <c r="G13" s="203"/>
      <c r="H13" s="203"/>
      <c r="I13" s="203"/>
      <c r="J13" s="204"/>
      <c r="K13" s="203"/>
      <c r="L13" s="203"/>
      <c r="M13" s="203"/>
      <c r="N13" s="204"/>
      <c r="O13" s="203"/>
      <c r="P13" s="203"/>
      <c r="Q13" s="205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69" t="s">
        <v>182</v>
      </c>
      <c r="AD13" s="169"/>
      <c r="AE13" s="169"/>
      <c r="AF13" s="169"/>
      <c r="AG13" s="104"/>
      <c r="AH13" s="104">
        <v>0</v>
      </c>
      <c r="AI13" s="157">
        <v>0</v>
      </c>
      <c r="AJ13" s="104"/>
      <c r="AK13" s="104" t="s">
        <v>183</v>
      </c>
      <c r="AL13" s="104"/>
      <c r="AM13" s="104">
        <v>6.7</v>
      </c>
      <c r="AN13" s="158">
        <v>2.6</v>
      </c>
      <c r="AO13" s="104" t="s">
        <v>184</v>
      </c>
      <c r="AP13" s="104"/>
      <c r="AQ13" s="104"/>
      <c r="AR13" s="104"/>
      <c r="AS13" s="104"/>
      <c r="AT13" s="159" t="s">
        <v>185</v>
      </c>
      <c r="AU13" s="159">
        <v>6.3E-2</v>
      </c>
      <c r="AV13" s="159">
        <v>6.7000000000000004E-2</v>
      </c>
      <c r="AW13" s="159">
        <v>6.3E-2</v>
      </c>
      <c r="AX13" s="159">
        <v>6.7000000000000004E-2</v>
      </c>
      <c r="AY13" s="159"/>
      <c r="AZ13" s="159"/>
      <c r="BA13" s="159">
        <f>+(M17-5)/100</f>
        <v>0</v>
      </c>
      <c r="BB13" s="159">
        <f>+IF(D17=AL28,IF(L19=AQ28,AU13,AV13),IF(L18=AQ28,AW13,AX13))+BA13</f>
        <v>6.7000000000000004E-2</v>
      </c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4"/>
      <c r="EF13" s="104"/>
      <c r="EG13" s="104"/>
      <c r="EH13" s="104"/>
      <c r="EI13" s="104"/>
      <c r="EJ13" s="104"/>
      <c r="EK13" s="104"/>
      <c r="EL13" s="104"/>
      <c r="EM13" s="104"/>
      <c r="EN13" s="104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04"/>
      <c r="EZ13" s="104"/>
      <c r="FA13" s="104"/>
      <c r="FB13" s="104"/>
      <c r="FC13" s="104"/>
      <c r="FD13" s="104"/>
      <c r="FE13" s="104"/>
      <c r="FF13" s="104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4"/>
      <c r="FY13" s="104"/>
      <c r="FZ13" s="104"/>
      <c r="GA13" s="104"/>
      <c r="GB13" s="104"/>
      <c r="GC13" s="104"/>
      <c r="GD13" s="104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04"/>
      <c r="HU13" s="104"/>
      <c r="HV13" s="104"/>
      <c r="HW13" s="104"/>
      <c r="HX13" s="104"/>
      <c r="HY13" s="104"/>
      <c r="HZ13" s="104"/>
      <c r="IA13" s="104"/>
      <c r="IB13" s="104"/>
      <c r="IC13" s="104"/>
      <c r="ID13" s="104"/>
      <c r="IE13" s="104"/>
      <c r="IF13" s="104"/>
      <c r="IG13" s="104"/>
      <c r="IH13" s="104"/>
      <c r="II13" s="104"/>
      <c r="IJ13" s="104"/>
      <c r="IK13" s="104"/>
      <c r="IL13" s="104"/>
      <c r="IM13" s="104"/>
      <c r="IN13" s="104"/>
      <c r="IO13" s="104"/>
      <c r="IP13" s="104"/>
      <c r="IQ13" s="104"/>
      <c r="IR13" s="104"/>
      <c r="IS13" s="104"/>
      <c r="IT13" s="104"/>
      <c r="IU13" s="104"/>
      <c r="IV13" s="104"/>
      <c r="IW13" s="104"/>
      <c r="IX13" s="104"/>
      <c r="IY13" s="104"/>
      <c r="IZ13" s="104"/>
      <c r="JA13" s="104"/>
    </row>
    <row r="14" spans="1:261" ht="15" x14ac:dyDescent="0.25">
      <c r="A14" s="104"/>
      <c r="B14" s="104"/>
      <c r="C14" s="20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07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 t="s">
        <v>170</v>
      </c>
      <c r="AD14" s="104"/>
      <c r="AE14" s="104"/>
      <c r="AF14" s="104"/>
      <c r="AG14" s="104"/>
      <c r="AH14" s="104">
        <v>4.26</v>
      </c>
      <c r="AI14" s="158">
        <v>1.3</v>
      </c>
      <c r="AJ14" s="104"/>
      <c r="AK14" s="104" t="s">
        <v>186</v>
      </c>
      <c r="AL14" s="104"/>
      <c r="AM14" s="104">
        <v>7.7</v>
      </c>
      <c r="AN14" s="158">
        <v>3.15</v>
      </c>
      <c r="AO14" s="104" t="s">
        <v>187</v>
      </c>
      <c r="AP14" s="104"/>
      <c r="AQ14" s="104"/>
      <c r="AR14" s="104"/>
      <c r="AS14" s="104"/>
      <c r="AT14" s="159" t="s">
        <v>188</v>
      </c>
      <c r="AU14" s="159">
        <v>7.1999999999999995E-2</v>
      </c>
      <c r="AV14" s="159">
        <v>7.8E-2</v>
      </c>
      <c r="AW14" s="159">
        <v>7.2999999999999995E-2</v>
      </c>
      <c r="AX14" s="159">
        <v>7.9000000000000001E-2</v>
      </c>
      <c r="AY14" s="159">
        <v>7.0000000000000007E-2</v>
      </c>
      <c r="AZ14" s="160">
        <v>7.5999999999999998E-2</v>
      </c>
      <c r="BA14" s="159">
        <f>+(M17-5)/100</f>
        <v>0</v>
      </c>
      <c r="BB14" s="159">
        <f>+IF(K19=AL29,IF(L19=AQ29,AU14,AV14),IF(L19=AQ29,AW14,AX14))+BA14</f>
        <v>7.1999999999999995E-2</v>
      </c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  <c r="DY14" s="104"/>
      <c r="DZ14" s="104"/>
      <c r="EA14" s="104"/>
      <c r="EB14" s="104"/>
      <c r="EC14" s="104"/>
      <c r="ED14" s="104"/>
      <c r="EE14" s="104"/>
      <c r="EF14" s="104"/>
      <c r="EG14" s="104"/>
      <c r="EH14" s="104"/>
      <c r="EI14" s="104"/>
      <c r="EJ14" s="104"/>
      <c r="EK14" s="104"/>
      <c r="EL14" s="104"/>
      <c r="EM14" s="104"/>
      <c r="EN14" s="104"/>
      <c r="EO14" s="104"/>
      <c r="EP14" s="104"/>
      <c r="EQ14" s="104"/>
      <c r="ER14" s="104"/>
      <c r="ES14" s="104"/>
      <c r="ET14" s="104"/>
      <c r="EU14" s="104"/>
      <c r="EV14" s="104"/>
      <c r="EW14" s="104"/>
      <c r="EX14" s="104"/>
      <c r="EY14" s="104"/>
      <c r="EZ14" s="104"/>
      <c r="FA14" s="104"/>
      <c r="FB14" s="104"/>
      <c r="FC14" s="104"/>
      <c r="FD14" s="104"/>
      <c r="FE14" s="104"/>
      <c r="FF14" s="104"/>
      <c r="FG14" s="104"/>
      <c r="FH14" s="104"/>
      <c r="FI14" s="104"/>
      <c r="FJ14" s="104"/>
      <c r="FK14" s="104"/>
      <c r="FL14" s="104"/>
      <c r="FM14" s="104"/>
      <c r="FN14" s="104"/>
      <c r="FO14" s="104"/>
      <c r="FP14" s="104"/>
      <c r="FQ14" s="104"/>
      <c r="FR14" s="104"/>
      <c r="FS14" s="104"/>
      <c r="FT14" s="104"/>
      <c r="FU14" s="104"/>
      <c r="FV14" s="104"/>
      <c r="FW14" s="104"/>
      <c r="FX14" s="104"/>
      <c r="FY14" s="104"/>
      <c r="FZ14" s="104"/>
      <c r="GA14" s="104"/>
      <c r="GB14" s="104"/>
      <c r="GC14" s="104"/>
      <c r="GD14" s="104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104"/>
      <c r="IW14" s="104"/>
      <c r="IX14" s="104"/>
      <c r="IY14" s="104"/>
      <c r="IZ14" s="104"/>
      <c r="JA14" s="104"/>
    </row>
    <row r="15" spans="1:261" ht="14.85" customHeight="1" x14ac:dyDescent="0.25">
      <c r="A15" s="104"/>
      <c r="B15" s="104"/>
      <c r="C15" s="206"/>
      <c r="D15" s="259"/>
      <c r="E15" s="208"/>
      <c r="F15" s="260" t="s">
        <v>189</v>
      </c>
      <c r="G15" s="257" t="s">
        <v>190</v>
      </c>
      <c r="H15" s="259"/>
      <c r="I15" s="262" t="s">
        <v>191</v>
      </c>
      <c r="J15" s="262"/>
      <c r="K15" s="262" t="s">
        <v>191</v>
      </c>
      <c r="L15" s="262"/>
      <c r="M15" s="209"/>
      <c r="N15" s="255" t="s">
        <v>192</v>
      </c>
      <c r="O15" s="256" t="s">
        <v>193</v>
      </c>
      <c r="P15" s="257" t="s">
        <v>191</v>
      </c>
      <c r="Q15" s="207"/>
      <c r="R15" s="104"/>
      <c r="S15" s="170"/>
      <c r="T15" s="170"/>
      <c r="U15" s="170"/>
      <c r="V15" s="104"/>
      <c r="W15" s="104"/>
      <c r="X15" s="104"/>
      <c r="Y15" s="104"/>
      <c r="Z15" s="104"/>
      <c r="AA15" s="104"/>
      <c r="AB15" s="104"/>
      <c r="AC15" s="104" t="s">
        <v>173</v>
      </c>
      <c r="AD15" s="104"/>
      <c r="AE15" s="104"/>
      <c r="AF15" s="104"/>
      <c r="AG15" s="104"/>
      <c r="AH15" s="104">
        <v>6.48</v>
      </c>
      <c r="AI15" s="158">
        <v>2.2000000000000002</v>
      </c>
      <c r="AJ15" s="104"/>
      <c r="AK15" s="104" t="s">
        <v>194</v>
      </c>
      <c r="AL15" s="104"/>
      <c r="AM15" s="104">
        <v>9.2799999999999994</v>
      </c>
      <c r="AN15" s="158">
        <v>3.7</v>
      </c>
      <c r="AO15" s="104" t="s">
        <v>195</v>
      </c>
      <c r="AP15" s="104"/>
      <c r="AQ15" s="104"/>
      <c r="AR15" s="104"/>
      <c r="AS15" s="104"/>
      <c r="AT15" s="159" t="s">
        <v>196</v>
      </c>
      <c r="AU15" s="159">
        <v>9.1999999999999998E-2</v>
      </c>
      <c r="AV15" s="159">
        <v>0.10299999999999999</v>
      </c>
      <c r="AW15" s="159">
        <v>9.4E-2</v>
      </c>
      <c r="AX15" s="159">
        <v>0.106</v>
      </c>
      <c r="AY15" s="159">
        <v>9.1999999999999998E-2</v>
      </c>
      <c r="AZ15" s="159">
        <v>0.10199999999999999</v>
      </c>
      <c r="BA15" s="159">
        <f>+(M17-5)/100</f>
        <v>0</v>
      </c>
      <c r="BB15" s="159">
        <f>+IF(K19=AL29,IF(L19=AQ29,AU15,AV15),IF(L19=AQ29,AW15,AX15))+BA15</f>
        <v>9.1999999999999998E-2</v>
      </c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  <c r="DY15" s="104"/>
      <c r="DZ15" s="104"/>
      <c r="EA15" s="104"/>
      <c r="EB15" s="104"/>
      <c r="EC15" s="104"/>
      <c r="ED15" s="104"/>
      <c r="EE15" s="104"/>
      <c r="EF15" s="104"/>
      <c r="EG15" s="104"/>
      <c r="EH15" s="104"/>
      <c r="EI15" s="104"/>
      <c r="EJ15" s="104"/>
      <c r="EK15" s="104"/>
      <c r="EL15" s="104"/>
      <c r="EM15" s="104"/>
      <c r="EN15" s="104"/>
      <c r="EO15" s="104"/>
      <c r="EP15" s="104"/>
      <c r="EQ15" s="104"/>
      <c r="ER15" s="104"/>
      <c r="ES15" s="104"/>
      <c r="ET15" s="104"/>
      <c r="EU15" s="104"/>
      <c r="EV15" s="104"/>
      <c r="EW15" s="104"/>
      <c r="EX15" s="104"/>
      <c r="EY15" s="104"/>
      <c r="EZ15" s="104"/>
      <c r="FA15" s="104"/>
      <c r="FB15" s="104"/>
      <c r="FC15" s="104"/>
      <c r="FD15" s="104"/>
      <c r="FE15" s="104"/>
      <c r="FF15" s="104"/>
      <c r="FG15" s="104"/>
      <c r="FH15" s="104"/>
      <c r="FI15" s="104"/>
      <c r="FJ15" s="104"/>
      <c r="FK15" s="104"/>
      <c r="FL15" s="104"/>
      <c r="FM15" s="104"/>
      <c r="FN15" s="104"/>
      <c r="FO15" s="104"/>
      <c r="FP15" s="104"/>
      <c r="FQ15" s="104"/>
      <c r="FR15" s="104"/>
      <c r="FS15" s="104"/>
      <c r="FT15" s="104"/>
      <c r="FU15" s="104"/>
      <c r="FV15" s="104"/>
      <c r="FW15" s="104"/>
      <c r="FX15" s="104"/>
      <c r="FY15" s="104"/>
      <c r="FZ15" s="104"/>
      <c r="GA15" s="104"/>
      <c r="GB15" s="104"/>
      <c r="GC15" s="104"/>
      <c r="GD15" s="104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  <c r="GO15" s="104"/>
      <c r="GP15" s="104"/>
      <c r="GQ15" s="104"/>
      <c r="GR15" s="104"/>
      <c r="GS15" s="104"/>
      <c r="GT15" s="104"/>
      <c r="GU15" s="104"/>
      <c r="GV15" s="104"/>
      <c r="GW15" s="104"/>
      <c r="GX15" s="104"/>
      <c r="GY15" s="104"/>
      <c r="GZ15" s="104"/>
      <c r="HA15" s="104"/>
      <c r="HB15" s="104"/>
      <c r="HC15" s="104"/>
      <c r="HD15" s="104"/>
      <c r="HE15" s="104"/>
      <c r="HF15" s="104"/>
      <c r="HG15" s="104"/>
      <c r="HH15" s="104"/>
      <c r="HI15" s="104"/>
      <c r="HJ15" s="104"/>
      <c r="HK15" s="104"/>
      <c r="HL15" s="104"/>
      <c r="HM15" s="104"/>
      <c r="HN15" s="104"/>
      <c r="HO15" s="104"/>
      <c r="HP15" s="104"/>
      <c r="HQ15" s="104"/>
      <c r="HR15" s="104"/>
      <c r="HS15" s="104"/>
      <c r="HT15" s="104"/>
      <c r="HU15" s="104"/>
      <c r="HV15" s="104"/>
      <c r="HW15" s="104"/>
      <c r="HX15" s="104"/>
      <c r="HY15" s="104"/>
      <c r="HZ15" s="104"/>
      <c r="IA15" s="104"/>
      <c r="IB15" s="104"/>
      <c r="IC15" s="104"/>
      <c r="ID15" s="104"/>
      <c r="IE15" s="104"/>
      <c r="IF15" s="104"/>
      <c r="IG15" s="104"/>
      <c r="IH15" s="104"/>
      <c r="II15" s="104"/>
      <c r="IJ15" s="104"/>
      <c r="IK15" s="104"/>
      <c r="IL15" s="104"/>
      <c r="IM15" s="104"/>
      <c r="IN15" s="104"/>
      <c r="IO15" s="104"/>
      <c r="IP15" s="104"/>
      <c r="IQ15" s="104"/>
      <c r="IR15" s="104"/>
      <c r="IS15" s="104"/>
      <c r="IT15" s="104"/>
      <c r="IU15" s="104"/>
      <c r="IV15" s="104"/>
      <c r="IW15" s="104"/>
      <c r="IX15" s="104"/>
      <c r="IY15" s="104"/>
      <c r="IZ15" s="104"/>
      <c r="JA15" s="104"/>
    </row>
    <row r="16" spans="1:261" ht="15.75" thickBot="1" x14ac:dyDescent="0.3">
      <c r="A16" s="104"/>
      <c r="B16" s="161" t="s">
        <v>197</v>
      </c>
      <c r="C16" s="206"/>
      <c r="D16" s="259"/>
      <c r="E16" s="208"/>
      <c r="F16" s="261"/>
      <c r="G16" s="257"/>
      <c r="H16" s="259"/>
      <c r="I16" s="262"/>
      <c r="J16" s="262"/>
      <c r="K16" s="262"/>
      <c r="L16" s="262"/>
      <c r="M16" s="209"/>
      <c r="N16" s="255"/>
      <c r="O16" s="256"/>
      <c r="P16" s="257"/>
      <c r="Q16" s="161" t="s">
        <v>356</v>
      </c>
      <c r="R16" s="104"/>
      <c r="S16" s="104"/>
      <c r="T16" s="104"/>
      <c r="U16" s="104"/>
      <c r="V16" s="104"/>
      <c r="W16" s="104" t="s">
        <v>198</v>
      </c>
      <c r="X16" s="156" t="s">
        <v>193</v>
      </c>
      <c r="Y16" s="104"/>
      <c r="Z16" s="104"/>
      <c r="AA16" s="104"/>
      <c r="AB16" s="104"/>
      <c r="AC16" s="104" t="s">
        <v>183</v>
      </c>
      <c r="AD16" s="104"/>
      <c r="AE16" s="104"/>
      <c r="AF16" s="104"/>
      <c r="AG16" s="104"/>
      <c r="AH16" s="104">
        <v>6.7</v>
      </c>
      <c r="AI16" s="158">
        <v>2.6</v>
      </c>
      <c r="AJ16" s="104"/>
      <c r="AK16" s="104" t="s">
        <v>199</v>
      </c>
      <c r="AL16" s="104"/>
      <c r="AM16" s="104">
        <v>11.2</v>
      </c>
      <c r="AN16" s="158">
        <v>4.6500000000000004</v>
      </c>
      <c r="AO16" s="104" t="s">
        <v>200</v>
      </c>
      <c r="AP16" s="104"/>
      <c r="AQ16" s="104"/>
      <c r="AR16" s="104"/>
      <c r="AS16" s="104"/>
      <c r="AT16" s="159"/>
      <c r="AU16" s="159"/>
      <c r="AV16" s="159"/>
      <c r="AW16" s="159"/>
      <c r="AX16" s="159"/>
      <c r="AY16" s="159"/>
      <c r="AZ16" s="159"/>
      <c r="BA16" s="159"/>
      <c r="BB16" s="159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104"/>
      <c r="BO16" s="104"/>
      <c r="BP16" s="104"/>
      <c r="BQ16" s="104"/>
      <c r="BR16" s="104"/>
      <c r="BS16" s="104"/>
      <c r="BT16" s="104"/>
      <c r="BU16" s="104"/>
      <c r="BV16" s="104"/>
      <c r="BW16" s="104"/>
      <c r="BX16" s="104"/>
      <c r="BY16" s="104"/>
      <c r="BZ16" s="104"/>
      <c r="CA16" s="104"/>
      <c r="CB16" s="104"/>
      <c r="CC16" s="104"/>
      <c r="CD16" s="104"/>
      <c r="CE16" s="104"/>
      <c r="CF16" s="104"/>
      <c r="CG16" s="104"/>
      <c r="CH16" s="104"/>
      <c r="CI16" s="104"/>
      <c r="CJ16" s="104"/>
      <c r="CK16" s="104"/>
      <c r="CL16" s="104"/>
      <c r="CM16" s="104"/>
      <c r="CN16" s="104"/>
      <c r="CO16" s="104"/>
      <c r="CP16" s="104"/>
      <c r="CQ16" s="104"/>
      <c r="CR16" s="104"/>
      <c r="CS16" s="104"/>
      <c r="CT16" s="104"/>
      <c r="CU16" s="104"/>
      <c r="CV16" s="104"/>
      <c r="CW16" s="104"/>
      <c r="CX16" s="104"/>
      <c r="CY16" s="104"/>
      <c r="CZ16" s="104"/>
      <c r="DA16" s="104"/>
      <c r="DB16" s="104"/>
      <c r="DC16" s="104"/>
      <c r="DD16" s="104"/>
      <c r="DE16" s="104"/>
      <c r="DF16" s="104"/>
      <c r="DG16" s="104"/>
      <c r="DH16" s="104"/>
      <c r="DI16" s="104"/>
      <c r="DJ16" s="104"/>
      <c r="DK16" s="104"/>
      <c r="DL16" s="104"/>
      <c r="DM16" s="104"/>
      <c r="DN16" s="104"/>
      <c r="DO16" s="104"/>
      <c r="DP16" s="104"/>
      <c r="DQ16" s="104"/>
      <c r="DR16" s="104"/>
      <c r="DS16" s="104"/>
      <c r="DT16" s="104"/>
      <c r="DU16" s="104"/>
      <c r="DV16" s="104"/>
      <c r="DW16" s="104"/>
      <c r="DX16" s="104"/>
      <c r="DY16" s="104"/>
      <c r="DZ16" s="104"/>
      <c r="EA16" s="104"/>
      <c r="EB16" s="104"/>
      <c r="EC16" s="104"/>
      <c r="ED16" s="104"/>
      <c r="EE16" s="104"/>
      <c r="EF16" s="104"/>
      <c r="EG16" s="104"/>
      <c r="EH16" s="104"/>
      <c r="EI16" s="104"/>
      <c r="EJ16" s="104"/>
      <c r="EK16" s="104"/>
      <c r="EL16" s="104"/>
      <c r="EM16" s="104"/>
      <c r="EN16" s="104"/>
      <c r="EO16" s="104"/>
      <c r="EP16" s="104"/>
      <c r="EQ16" s="104"/>
      <c r="ER16" s="104"/>
      <c r="ES16" s="104"/>
      <c r="ET16" s="104"/>
      <c r="EU16" s="104"/>
      <c r="EV16" s="104"/>
      <c r="EW16" s="104"/>
      <c r="EX16" s="104"/>
      <c r="EY16" s="104"/>
      <c r="EZ16" s="104"/>
      <c r="FA16" s="104"/>
      <c r="FB16" s="104"/>
      <c r="FC16" s="104"/>
      <c r="FD16" s="104"/>
      <c r="FE16" s="104"/>
      <c r="FF16" s="104"/>
      <c r="FG16" s="104"/>
      <c r="FH16" s="104"/>
      <c r="FI16" s="104"/>
      <c r="FJ16" s="104"/>
      <c r="FK16" s="104"/>
      <c r="FL16" s="104"/>
      <c r="FM16" s="104"/>
      <c r="FN16" s="104"/>
      <c r="FO16" s="104"/>
      <c r="FP16" s="104"/>
      <c r="FQ16" s="104"/>
      <c r="FR16" s="104"/>
      <c r="FS16" s="104"/>
      <c r="FT16" s="104"/>
      <c r="FU16" s="104"/>
      <c r="FV16" s="104"/>
      <c r="FW16" s="104"/>
      <c r="FX16" s="104"/>
      <c r="FY16" s="104"/>
      <c r="FZ16" s="104"/>
      <c r="GA16" s="104"/>
      <c r="GB16" s="104"/>
      <c r="GC16" s="104"/>
      <c r="GD16" s="104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  <c r="GO16" s="104"/>
      <c r="GP16" s="104"/>
      <c r="GQ16" s="104"/>
      <c r="GR16" s="104"/>
      <c r="GS16" s="104"/>
      <c r="GT16" s="104"/>
      <c r="GU16" s="104"/>
      <c r="GV16" s="104"/>
      <c r="GW16" s="104"/>
      <c r="GX16" s="104"/>
      <c r="GY16" s="104"/>
      <c r="GZ16" s="104"/>
      <c r="HA16" s="104"/>
      <c r="HB16" s="104"/>
      <c r="HC16" s="104"/>
      <c r="HD16" s="104"/>
      <c r="HE16" s="104"/>
      <c r="HF16" s="104"/>
      <c r="HG16" s="104"/>
      <c r="HH16" s="104"/>
      <c r="HI16" s="104"/>
      <c r="HJ16" s="104"/>
      <c r="HK16" s="104"/>
      <c r="HL16" s="104"/>
      <c r="HM16" s="104"/>
      <c r="HN16" s="104"/>
      <c r="HO16" s="104"/>
      <c r="HP16" s="104"/>
      <c r="HQ16" s="104"/>
      <c r="HR16" s="104"/>
      <c r="HS16" s="104"/>
      <c r="HT16" s="104"/>
      <c r="HU16" s="104"/>
      <c r="HV16" s="104"/>
      <c r="HW16" s="104"/>
      <c r="HX16" s="104"/>
      <c r="HY16" s="104"/>
      <c r="HZ16" s="104"/>
      <c r="IA16" s="104"/>
      <c r="IB16" s="104"/>
      <c r="IC16" s="104"/>
      <c r="ID16" s="104"/>
      <c r="IE16" s="104"/>
      <c r="IF16" s="104"/>
      <c r="IG16" s="104"/>
      <c r="IH16" s="104"/>
      <c r="II16" s="104"/>
      <c r="IJ16" s="104"/>
      <c r="IK16" s="104"/>
      <c r="IL16" s="104"/>
      <c r="IM16" s="104"/>
      <c r="IN16" s="104"/>
      <c r="IO16" s="104"/>
      <c r="IP16" s="104"/>
      <c r="IQ16" s="104"/>
      <c r="IR16" s="104"/>
      <c r="IS16" s="104"/>
      <c r="IT16" s="104"/>
      <c r="IU16" s="104"/>
      <c r="IV16" s="104"/>
      <c r="IW16" s="104"/>
      <c r="IX16" s="104"/>
      <c r="IY16" s="104"/>
      <c r="IZ16" s="104"/>
      <c r="JA16" s="104"/>
    </row>
    <row r="17" spans="1:261" ht="17.25" thickTop="1" thickBot="1" x14ac:dyDescent="0.3">
      <c r="A17" s="104"/>
      <c r="B17" s="104"/>
      <c r="C17" s="206"/>
      <c r="D17" s="148" t="s">
        <v>201</v>
      </c>
      <c r="E17" s="148" t="s">
        <v>280</v>
      </c>
      <c r="F17" s="147">
        <f>IF(E17=X11,+IF(D17=W24,63,IF(D17=W26,63,66.5)),+IF(D17=W24,73,IF(D17=W26,73,80)))</f>
        <v>66.5</v>
      </c>
      <c r="G17" s="142">
        <f>+IF(E17=X11,+VLOOKUP(D17,W24:X29,2,FALSE),+VLOOKUP(D17,W24:Z29,4,FALSE))</f>
        <v>6.1503759398496234</v>
      </c>
      <c r="H17" s="149" t="s">
        <v>188</v>
      </c>
      <c r="I17" s="143">
        <f>+VLOOKUP(D17,W74:X77,2,FALSE)</f>
        <v>-4.8600000000000003</v>
      </c>
      <c r="J17" s="113">
        <v>2</v>
      </c>
      <c r="K17" s="143">
        <f>+J17*0.722</f>
        <v>1.444</v>
      </c>
      <c r="L17" s="122" t="s">
        <v>282</v>
      </c>
      <c r="M17" s="114">
        <v>5</v>
      </c>
      <c r="N17" s="144">
        <f>+VLOOKUP(D17,W74:AA77,5,FALSE)</f>
        <v>7.0999999999999994E-2</v>
      </c>
      <c r="O17" s="145">
        <f>+VLOOKUP(L17,$W$17:$X$19,2,FALSE)</f>
        <v>197</v>
      </c>
      <c r="P17" s="146">
        <f>+O17*N17</f>
        <v>13.986999999999998</v>
      </c>
      <c r="Q17" s="207"/>
      <c r="R17" s="104"/>
      <c r="S17" s="104"/>
      <c r="T17" s="104"/>
      <c r="U17" s="104"/>
      <c r="V17" s="104">
        <v>5</v>
      </c>
      <c r="W17" s="171" t="s">
        <v>282</v>
      </c>
      <c r="X17" s="156">
        <v>197</v>
      </c>
      <c r="Y17" s="159" t="s">
        <v>202</v>
      </c>
      <c r="Z17" s="104" t="s">
        <v>203</v>
      </c>
      <c r="AA17" s="104"/>
      <c r="AB17" s="104"/>
      <c r="AC17" s="104" t="s">
        <v>186</v>
      </c>
      <c r="AD17" s="104"/>
      <c r="AE17" s="104"/>
      <c r="AF17" s="104"/>
      <c r="AG17" s="104"/>
      <c r="AH17" s="104">
        <v>7.7</v>
      </c>
      <c r="AI17" s="158">
        <v>3.15</v>
      </c>
      <c r="AJ17" s="104"/>
      <c r="AK17" s="104" t="s">
        <v>204</v>
      </c>
      <c r="AL17" s="104"/>
      <c r="AM17" s="104">
        <v>13.3</v>
      </c>
      <c r="AN17" s="158">
        <v>5.55</v>
      </c>
      <c r="AO17" s="104" t="s">
        <v>195</v>
      </c>
      <c r="AP17" s="104"/>
      <c r="AQ17" s="104"/>
      <c r="AR17" s="104"/>
      <c r="AS17" s="104"/>
      <c r="AT17" s="159" t="s">
        <v>205</v>
      </c>
      <c r="AU17" s="159">
        <f>18.9*1.59</f>
        <v>30.050999999999998</v>
      </c>
      <c r="AV17" s="159">
        <f>1.37*18.9*2</f>
        <v>51.786000000000001</v>
      </c>
      <c r="AW17" s="159">
        <f>1.5*26.3</f>
        <v>39.450000000000003</v>
      </c>
      <c r="AX17" s="159">
        <f>1.25*26.3*2</f>
        <v>65.75</v>
      </c>
      <c r="AY17" s="159"/>
      <c r="AZ17" s="159"/>
      <c r="BA17" s="159"/>
      <c r="BB17" s="159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104"/>
      <c r="BO17" s="104"/>
      <c r="BP17" s="104"/>
      <c r="BQ17" s="104"/>
      <c r="BR17" s="104"/>
      <c r="BS17" s="104"/>
      <c r="BT17" s="104"/>
      <c r="BU17" s="104"/>
      <c r="BV17" s="104"/>
      <c r="BW17" s="104"/>
      <c r="BX17" s="104"/>
      <c r="BY17" s="104"/>
      <c r="BZ17" s="104"/>
      <c r="CA17" s="104"/>
      <c r="CB17" s="104"/>
      <c r="CC17" s="104"/>
      <c r="CD17" s="104"/>
      <c r="CE17" s="104"/>
      <c r="CF17" s="104"/>
      <c r="CG17" s="104"/>
      <c r="CH17" s="104"/>
      <c r="CI17" s="104"/>
      <c r="CJ17" s="104"/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/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104"/>
      <c r="DI17" s="104"/>
      <c r="DJ17" s="104"/>
      <c r="DK17" s="104"/>
      <c r="DL17" s="104"/>
      <c r="DM17" s="104"/>
      <c r="DN17" s="104"/>
      <c r="DO17" s="104"/>
      <c r="DP17" s="104"/>
      <c r="DQ17" s="104"/>
      <c r="DR17" s="104"/>
      <c r="DS17" s="104"/>
      <c r="DT17" s="104"/>
      <c r="DU17" s="104"/>
      <c r="DV17" s="104"/>
      <c r="DW17" s="104"/>
      <c r="DX17" s="104"/>
      <c r="DY17" s="104"/>
      <c r="DZ17" s="104"/>
      <c r="EA17" s="104"/>
      <c r="EB17" s="104"/>
      <c r="EC17" s="104"/>
      <c r="ED17" s="104"/>
      <c r="EE17" s="104"/>
      <c r="EF17" s="104"/>
      <c r="EG17" s="104"/>
      <c r="EH17" s="104"/>
      <c r="EI17" s="104"/>
      <c r="EJ17" s="104"/>
      <c r="EK17" s="104"/>
      <c r="EL17" s="104"/>
      <c r="EM17" s="104"/>
      <c r="EN17" s="104"/>
      <c r="EO17" s="104"/>
      <c r="EP17" s="104"/>
      <c r="EQ17" s="104"/>
      <c r="ER17" s="104"/>
      <c r="ES17" s="104"/>
      <c r="ET17" s="104"/>
      <c r="EU17" s="104"/>
      <c r="EV17" s="104"/>
      <c r="EW17" s="104"/>
      <c r="EX17" s="104"/>
      <c r="EY17" s="104"/>
      <c r="EZ17" s="104"/>
      <c r="FA17" s="104"/>
      <c r="FB17" s="104"/>
      <c r="FC17" s="104"/>
      <c r="FD17" s="104"/>
      <c r="FE17" s="104"/>
      <c r="FF17" s="104"/>
      <c r="FG17" s="104"/>
      <c r="FH17" s="104"/>
      <c r="FI17" s="104"/>
      <c r="FJ17" s="104"/>
      <c r="FK17" s="104"/>
      <c r="FL17" s="104"/>
      <c r="FM17" s="104"/>
      <c r="FN17" s="104"/>
      <c r="FO17" s="104"/>
      <c r="FP17" s="104"/>
      <c r="FQ17" s="104"/>
      <c r="FR17" s="104"/>
      <c r="FS17" s="104"/>
      <c r="FT17" s="104"/>
      <c r="FU17" s="104"/>
      <c r="FV17" s="104"/>
      <c r="FW17" s="104"/>
      <c r="FX17" s="104"/>
      <c r="FY17" s="104"/>
      <c r="FZ17" s="104"/>
      <c r="GA17" s="104"/>
      <c r="GB17" s="104"/>
      <c r="GC17" s="104"/>
      <c r="GD17" s="104"/>
      <c r="GE17" s="104"/>
      <c r="GF17" s="104"/>
      <c r="GG17" s="104"/>
      <c r="GH17" s="104"/>
      <c r="GI17" s="104"/>
      <c r="GJ17" s="104"/>
      <c r="GK17" s="104"/>
      <c r="GL17" s="104"/>
      <c r="GM17" s="104"/>
      <c r="GN17" s="104"/>
      <c r="GO17" s="104"/>
      <c r="GP17" s="104"/>
      <c r="GQ17" s="104"/>
      <c r="GR17" s="104"/>
      <c r="GS17" s="104"/>
      <c r="GT17" s="104"/>
      <c r="GU17" s="104"/>
      <c r="GV17" s="104"/>
      <c r="GW17" s="104"/>
      <c r="GX17" s="104"/>
      <c r="GY17" s="104"/>
      <c r="GZ17" s="104"/>
      <c r="HA17" s="104"/>
      <c r="HB17" s="104"/>
      <c r="HC17" s="104"/>
      <c r="HD17" s="104"/>
      <c r="HE17" s="104"/>
      <c r="HF17" s="104"/>
      <c r="HG17" s="104"/>
      <c r="HH17" s="104"/>
      <c r="HI17" s="104"/>
      <c r="HJ17" s="104"/>
      <c r="HK17" s="104"/>
      <c r="HL17" s="104"/>
      <c r="HM17" s="104"/>
      <c r="HN17" s="104"/>
      <c r="HO17" s="104"/>
      <c r="HP17" s="104"/>
      <c r="HQ17" s="104"/>
      <c r="HR17" s="104"/>
      <c r="HS17" s="104"/>
      <c r="HT17" s="104"/>
      <c r="HU17" s="104"/>
      <c r="HV17" s="104"/>
      <c r="HW17" s="104"/>
      <c r="HX17" s="104"/>
      <c r="HY17" s="104"/>
      <c r="HZ17" s="104"/>
      <c r="IA17" s="104"/>
      <c r="IB17" s="104"/>
      <c r="IC17" s="104"/>
      <c r="ID17" s="104"/>
      <c r="IE17" s="104"/>
      <c r="IF17" s="104"/>
      <c r="IG17" s="104"/>
      <c r="IH17" s="104"/>
      <c r="II17" s="104"/>
      <c r="IJ17" s="104"/>
      <c r="IK17" s="104"/>
      <c r="IL17" s="104"/>
      <c r="IM17" s="104"/>
      <c r="IN17" s="104"/>
      <c r="IO17" s="104"/>
      <c r="IP17" s="104"/>
      <c r="IQ17" s="104"/>
      <c r="IR17" s="104"/>
      <c r="IS17" s="104"/>
      <c r="IT17" s="104"/>
      <c r="IU17" s="104"/>
      <c r="IV17" s="104"/>
      <c r="IW17" s="104"/>
      <c r="IX17" s="104"/>
      <c r="IY17" s="104"/>
      <c r="IZ17" s="104"/>
      <c r="JA17" s="104"/>
    </row>
    <row r="18" spans="1:261" ht="16.5" thickTop="1" thickBot="1" x14ac:dyDescent="0.3">
      <c r="A18" s="104"/>
      <c r="B18" s="104"/>
      <c r="C18" s="210"/>
      <c r="D18" s="211"/>
      <c r="E18" s="212"/>
      <c r="F18" s="211"/>
      <c r="G18" s="213"/>
      <c r="H18" s="214"/>
      <c r="I18" s="214"/>
      <c r="J18" s="215"/>
      <c r="K18" s="216"/>
      <c r="L18" s="217">
        <v>150</v>
      </c>
      <c r="M18" s="214"/>
      <c r="N18" s="215"/>
      <c r="O18" s="214"/>
      <c r="P18" s="216"/>
      <c r="Q18" s="172"/>
      <c r="R18" s="104"/>
      <c r="S18" s="104"/>
      <c r="T18" s="104"/>
      <c r="U18" s="104"/>
      <c r="V18" s="104">
        <v>6</v>
      </c>
      <c r="W18" s="171" t="s">
        <v>283</v>
      </c>
      <c r="X18" s="173">
        <v>150</v>
      </c>
      <c r="Y18" s="104" t="s">
        <v>206</v>
      </c>
      <c r="Z18" s="104"/>
      <c r="AA18" s="104"/>
      <c r="AB18" s="104"/>
      <c r="AC18" s="104" t="s">
        <v>194</v>
      </c>
      <c r="AD18" s="104"/>
      <c r="AE18" s="104"/>
      <c r="AF18" s="104"/>
      <c r="AG18" s="104"/>
      <c r="AH18" s="104">
        <v>9.2799999999999994</v>
      </c>
      <c r="AI18" s="158">
        <v>3.7</v>
      </c>
      <c r="AJ18" s="104"/>
      <c r="AK18" s="156" t="s">
        <v>207</v>
      </c>
      <c r="AL18" s="156"/>
      <c r="AM18" s="104">
        <v>15.3</v>
      </c>
      <c r="AN18" s="157">
        <v>3.7</v>
      </c>
      <c r="AO18" s="104" t="s">
        <v>208</v>
      </c>
      <c r="AP18" s="104"/>
      <c r="AQ18" s="104"/>
      <c r="AR18" s="104"/>
      <c r="AS18" s="104"/>
      <c r="AT18" s="159" t="s">
        <v>209</v>
      </c>
      <c r="AU18" s="159">
        <f>1.59*4.7</f>
        <v>7.4730000000000008</v>
      </c>
      <c r="AV18" s="159">
        <f>1.37*4.7</f>
        <v>6.4390000000000009</v>
      </c>
      <c r="AW18" s="159">
        <f>1.5*4.7</f>
        <v>7.0500000000000007</v>
      </c>
      <c r="AX18" s="159">
        <f>1.25*4.7</f>
        <v>5.875</v>
      </c>
      <c r="AY18" s="159"/>
      <c r="AZ18" s="159"/>
      <c r="BA18" s="159"/>
      <c r="BB18" s="159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  <c r="IW18" s="104"/>
      <c r="IX18" s="104"/>
      <c r="IY18" s="104"/>
      <c r="IZ18" s="104"/>
      <c r="JA18" s="104"/>
    </row>
    <row r="19" spans="1:261" ht="15" x14ac:dyDescent="0.25">
      <c r="A19" s="104"/>
      <c r="B19" s="104"/>
      <c r="C19" s="104"/>
      <c r="D19" s="162"/>
      <c r="E19" s="162"/>
      <c r="F19" s="162"/>
      <c r="G19" s="163"/>
      <c r="H19" s="164"/>
      <c r="I19" s="164"/>
      <c r="J19" s="165"/>
      <c r="K19" s="166"/>
      <c r="L19" s="164"/>
      <c r="M19" s="164"/>
      <c r="N19" s="165"/>
      <c r="O19" s="164"/>
      <c r="P19" s="166"/>
      <c r="Q19" s="164"/>
      <c r="R19" s="104"/>
      <c r="S19" s="104"/>
      <c r="T19" s="104"/>
      <c r="U19" s="104"/>
      <c r="V19" s="104">
        <v>7</v>
      </c>
      <c r="W19" s="174" t="s">
        <v>284</v>
      </c>
      <c r="X19" s="104">
        <f>+L18</f>
        <v>150</v>
      </c>
      <c r="Y19" s="104"/>
      <c r="Z19" s="104"/>
      <c r="AA19" s="104"/>
      <c r="AB19" s="104"/>
      <c r="AC19" s="104" t="s">
        <v>199</v>
      </c>
      <c r="AD19" s="104"/>
      <c r="AE19" s="104"/>
      <c r="AF19" s="104"/>
      <c r="AG19" s="104"/>
      <c r="AH19" s="104">
        <v>11.2</v>
      </c>
      <c r="AI19" s="158">
        <v>4.6500000000000004</v>
      </c>
      <c r="AJ19" s="104"/>
      <c r="AK19" s="156" t="s">
        <v>210</v>
      </c>
      <c r="AL19" s="156"/>
      <c r="AM19" s="104">
        <v>19.5</v>
      </c>
      <c r="AN19" s="157">
        <v>4.6500000000000004</v>
      </c>
      <c r="AO19" s="104"/>
      <c r="AP19" s="104"/>
      <c r="AQ19" s="104"/>
      <c r="AR19" s="104"/>
      <c r="AS19" s="104"/>
      <c r="AT19" s="159" t="s">
        <v>211</v>
      </c>
      <c r="AU19" s="159">
        <f>1.59*5.9</f>
        <v>9.3810000000000002</v>
      </c>
      <c r="AV19" s="159">
        <f>1.37*5.9</f>
        <v>8.083000000000002</v>
      </c>
      <c r="AW19" s="159">
        <f>1.5*5.9</f>
        <v>8.8500000000000014</v>
      </c>
      <c r="AX19" s="159">
        <f>1.25*5.9</f>
        <v>7.375</v>
      </c>
      <c r="AY19" s="159"/>
      <c r="AZ19" s="159"/>
      <c r="BA19" s="159"/>
      <c r="BB19" s="159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</row>
    <row r="20" spans="1:261" ht="15.75" x14ac:dyDescent="0.25">
      <c r="A20" s="104"/>
      <c r="B20" s="104"/>
      <c r="C20" s="104"/>
      <c r="D20" s="104"/>
      <c r="E20" s="104"/>
      <c r="F20" s="167"/>
      <c r="G20" s="168"/>
      <c r="H20" s="104"/>
      <c r="I20" s="164"/>
      <c r="J20" s="165"/>
      <c r="K20" s="166"/>
      <c r="L20" s="164"/>
      <c r="M20" s="164"/>
      <c r="N20" s="165"/>
      <c r="O20" s="164"/>
      <c r="P20" s="166"/>
      <c r="Q20" s="164"/>
      <c r="R20" s="104"/>
      <c r="S20" s="104"/>
      <c r="T20" s="104"/>
      <c r="U20" s="104"/>
      <c r="V20" s="104">
        <v>8</v>
      </c>
      <c r="W20" s="156"/>
      <c r="X20" s="156"/>
      <c r="Y20" s="156"/>
      <c r="Z20" s="104"/>
      <c r="AA20" s="104"/>
      <c r="AB20" s="104"/>
      <c r="AC20" s="104" t="s">
        <v>204</v>
      </c>
      <c r="AD20" s="104"/>
      <c r="AE20" s="104"/>
      <c r="AF20" s="104"/>
      <c r="AG20" s="104"/>
      <c r="AH20" s="104">
        <v>13.3</v>
      </c>
      <c r="AI20" s="158">
        <v>5.55</v>
      </c>
      <c r="AJ20" s="104"/>
      <c r="AK20" s="156" t="s">
        <v>212</v>
      </c>
      <c r="AL20" s="156"/>
      <c r="AM20" s="104">
        <v>22.3</v>
      </c>
      <c r="AN20" s="157">
        <v>5.55</v>
      </c>
      <c r="AO20" s="104"/>
      <c r="AP20" s="104"/>
      <c r="AQ20" s="104"/>
      <c r="AR20" s="104"/>
      <c r="AS20" s="104"/>
      <c r="AT20" s="175" t="s">
        <v>213</v>
      </c>
      <c r="AU20" s="175">
        <v>180</v>
      </c>
      <c r="AV20" s="175">
        <v>208</v>
      </c>
      <c r="AW20" s="175">
        <v>188</v>
      </c>
      <c r="AX20" s="175">
        <v>221</v>
      </c>
      <c r="AY20" s="175"/>
      <c r="AZ20" s="175"/>
      <c r="BA20" s="159"/>
      <c r="BB20" s="159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  <c r="IW20" s="104"/>
      <c r="IX20" s="104"/>
      <c r="IY20" s="104"/>
      <c r="IZ20" s="104"/>
      <c r="JA20" s="104"/>
    </row>
    <row r="21" spans="1:261" ht="15" x14ac:dyDescent="0.25">
      <c r="A21" s="104"/>
      <c r="B21" s="104"/>
      <c r="C21" s="104"/>
      <c r="D21" s="162"/>
      <c r="E21" s="162"/>
      <c r="F21" s="162"/>
      <c r="G21" s="163"/>
      <c r="H21" s="164"/>
      <c r="I21" s="164"/>
      <c r="J21" s="165"/>
      <c r="K21" s="166"/>
      <c r="L21" s="164"/>
      <c r="M21" s="164"/>
      <c r="N21" s="165"/>
      <c r="O21" s="164"/>
      <c r="P21" s="166"/>
      <c r="Q21" s="16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56" t="s">
        <v>207</v>
      </c>
      <c r="AD21" s="156"/>
      <c r="AE21" s="156"/>
      <c r="AF21" s="156"/>
      <c r="AG21" s="156"/>
      <c r="AH21" s="104">
        <v>15.3</v>
      </c>
      <c r="AI21" s="157">
        <v>3.7</v>
      </c>
      <c r="AJ21" s="104"/>
      <c r="AK21" s="156" t="s">
        <v>214</v>
      </c>
      <c r="AL21" s="156"/>
      <c r="AM21" s="104">
        <v>19.8</v>
      </c>
      <c r="AN21" s="157">
        <v>3.15</v>
      </c>
      <c r="AO21" s="104"/>
      <c r="AP21" s="104"/>
      <c r="AQ21" s="104"/>
      <c r="AR21" s="104"/>
      <c r="AS21" s="104"/>
      <c r="AT21" s="175" t="s">
        <v>215</v>
      </c>
      <c r="AU21" s="175">
        <v>200</v>
      </c>
      <c r="AV21" s="175">
        <v>234</v>
      </c>
      <c r="AW21" s="175">
        <v>209</v>
      </c>
      <c r="AX21" s="175">
        <v>251</v>
      </c>
      <c r="AY21" s="175">
        <v>211</v>
      </c>
      <c r="AZ21" s="175">
        <v>253</v>
      </c>
      <c r="BA21" s="175"/>
      <c r="BB21" s="175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  <c r="IW21" s="104"/>
      <c r="IX21" s="104"/>
      <c r="IY21" s="104"/>
      <c r="IZ21" s="104"/>
      <c r="JA21" s="104"/>
    </row>
    <row r="22" spans="1:261" ht="18.75" x14ac:dyDescent="0.3">
      <c r="A22" s="104"/>
      <c r="B22" s="104"/>
      <c r="C22" s="104"/>
      <c r="D22" s="258" t="s">
        <v>216</v>
      </c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176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56" t="s">
        <v>210</v>
      </c>
      <c r="AD22" s="156"/>
      <c r="AE22" s="156"/>
      <c r="AF22" s="156"/>
      <c r="AG22" s="156"/>
      <c r="AH22" s="104">
        <v>19.5</v>
      </c>
      <c r="AI22" s="157">
        <v>4.6500000000000004</v>
      </c>
      <c r="AJ22" s="104"/>
      <c r="AK22" s="156" t="s">
        <v>169</v>
      </c>
      <c r="AL22" s="156"/>
      <c r="AM22" s="104">
        <v>8.94</v>
      </c>
      <c r="AN22" s="157">
        <v>2.6</v>
      </c>
      <c r="AO22" s="104"/>
      <c r="AP22" s="104"/>
      <c r="AQ22" s="104"/>
      <c r="AR22" s="104"/>
      <c r="AS22" s="104"/>
      <c r="AT22" s="175" t="s">
        <v>217</v>
      </c>
      <c r="AU22" s="175">
        <v>259</v>
      </c>
      <c r="AV22" s="175">
        <v>302</v>
      </c>
      <c r="AW22" s="175">
        <v>271</v>
      </c>
      <c r="AX22" s="175">
        <v>322</v>
      </c>
      <c r="AY22" s="175">
        <v>273</v>
      </c>
      <c r="AZ22" s="175">
        <v>324</v>
      </c>
      <c r="BA22" s="159"/>
      <c r="BB22" s="159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</row>
    <row r="23" spans="1:261" ht="15" x14ac:dyDescent="0.25">
      <c r="A23" s="104"/>
      <c r="B23" s="104"/>
      <c r="C23" s="104"/>
      <c r="D23" s="162"/>
      <c r="E23" s="162"/>
      <c r="F23" s="162"/>
      <c r="G23" s="163"/>
      <c r="H23" s="164"/>
      <c r="I23" s="164"/>
      <c r="J23" s="165"/>
      <c r="K23" s="164"/>
      <c r="L23" s="164"/>
      <c r="M23" s="164"/>
      <c r="N23" s="106"/>
      <c r="O23" s="105"/>
      <c r="P23" s="105"/>
      <c r="Q23" s="164"/>
      <c r="R23" s="104"/>
      <c r="S23" s="104"/>
      <c r="T23" s="104"/>
      <c r="U23" s="104"/>
      <c r="V23" s="104"/>
      <c r="W23" s="104" t="s">
        <v>101</v>
      </c>
      <c r="X23" s="104" t="s">
        <v>285</v>
      </c>
      <c r="Y23" s="156" t="s">
        <v>224</v>
      </c>
      <c r="Z23" s="104" t="s">
        <v>286</v>
      </c>
      <c r="AA23" s="104" t="s">
        <v>287</v>
      </c>
      <c r="AB23" s="104"/>
      <c r="AC23" s="156" t="s">
        <v>212</v>
      </c>
      <c r="AD23" s="156"/>
      <c r="AE23" s="156"/>
      <c r="AF23" s="156"/>
      <c r="AG23" s="156"/>
      <c r="AH23" s="104">
        <v>22.3</v>
      </c>
      <c r="AI23" s="157">
        <v>5.55</v>
      </c>
      <c r="AJ23" s="104"/>
      <c r="AK23" s="156" t="s">
        <v>172</v>
      </c>
      <c r="AL23" s="156"/>
      <c r="AM23" s="104">
        <v>12.1</v>
      </c>
      <c r="AN23" s="157">
        <v>3.7</v>
      </c>
      <c r="AO23" s="104"/>
      <c r="AP23" s="104"/>
      <c r="AQ23" s="104"/>
      <c r="AR23" s="104"/>
      <c r="AS23" s="104"/>
      <c r="AT23" s="159" t="s">
        <v>218</v>
      </c>
      <c r="AU23" s="159">
        <f>+AU20+($AR$13*2400)</f>
        <v>180</v>
      </c>
      <c r="AV23" s="159">
        <f t="shared" ref="AV23:AX23" si="0">+AV20+($AR$13*2400)</f>
        <v>208</v>
      </c>
      <c r="AW23" s="159">
        <f t="shared" si="0"/>
        <v>188</v>
      </c>
      <c r="AX23" s="159">
        <f t="shared" si="0"/>
        <v>221</v>
      </c>
      <c r="AY23" s="159"/>
      <c r="AZ23" s="159"/>
      <c r="BA23" s="159"/>
      <c r="BB23" s="159">
        <f>+IF(K19=AL29,IF(L19=AQ29,AU23,AV23),IF(L19=AQ29,AW23,AX23))</f>
        <v>180</v>
      </c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  <c r="IU23" s="104"/>
      <c r="IV23" s="104"/>
      <c r="IW23" s="104"/>
      <c r="IX23" s="104"/>
      <c r="IY23" s="104"/>
      <c r="IZ23" s="104"/>
      <c r="JA23" s="104"/>
    </row>
    <row r="24" spans="1:261" ht="15" x14ac:dyDescent="0.25">
      <c r="A24" s="104"/>
      <c r="B24" s="104"/>
      <c r="C24" s="104"/>
      <c r="D24" s="116"/>
      <c r="E24" s="116"/>
      <c r="F24" s="116"/>
      <c r="G24" s="115"/>
      <c r="I24" s="105"/>
      <c r="K24" s="105"/>
      <c r="O24" s="105"/>
      <c r="P24" s="105"/>
      <c r="Q24" s="164"/>
      <c r="R24" s="104"/>
      <c r="S24" s="104"/>
      <c r="T24" s="104"/>
      <c r="U24" s="104"/>
      <c r="V24" s="104"/>
      <c r="W24" s="156" t="s">
        <v>223</v>
      </c>
      <c r="X24" s="177">
        <f>+Y24/0.63</f>
        <v>4.6349206349206344</v>
      </c>
      <c r="Y24" s="156">
        <v>2.92</v>
      </c>
      <c r="Z24" s="178">
        <f>+Y24*AA24</f>
        <v>7.9999999999999991</v>
      </c>
      <c r="AA24" s="178">
        <f>1/0.73*2</f>
        <v>2.7397260273972601</v>
      </c>
      <c r="AB24" s="104"/>
      <c r="AC24" s="169" t="s">
        <v>182</v>
      </c>
      <c r="AD24" s="169"/>
      <c r="AE24" s="169"/>
      <c r="AF24" s="169"/>
      <c r="AG24" s="104"/>
      <c r="AH24" s="104">
        <v>0</v>
      </c>
      <c r="AI24" s="157">
        <v>0</v>
      </c>
      <c r="AJ24" s="104"/>
      <c r="AK24" s="156" t="s">
        <v>219</v>
      </c>
      <c r="AL24" s="156"/>
      <c r="AM24" s="104">
        <v>13.7</v>
      </c>
      <c r="AN24" s="157">
        <v>4.6500000000000004</v>
      </c>
      <c r="AO24" s="104"/>
      <c r="AP24" s="104"/>
      <c r="AQ24" s="104"/>
      <c r="AR24" s="104"/>
      <c r="AS24" s="104"/>
      <c r="AT24" s="159" t="s">
        <v>220</v>
      </c>
      <c r="AU24" s="159">
        <f>+AU21+($AR$14*2400)</f>
        <v>200</v>
      </c>
      <c r="AV24" s="159">
        <f>+AV21+($AR$14*2400)</f>
        <v>234</v>
      </c>
      <c r="AW24" s="159">
        <f>+AW21+($AR$14*2400)</f>
        <v>209</v>
      </c>
      <c r="AX24" s="159">
        <f>+AX21+($AR$14*2400)</f>
        <v>251</v>
      </c>
      <c r="AY24" s="159"/>
      <c r="AZ24" s="159"/>
      <c r="BA24" s="159"/>
      <c r="BB24" s="159">
        <f>+IF(K19=AL29,IF(L19=AQ29,AU24,AV24),IF(L19=AQ29,AW24,AX24))</f>
        <v>200</v>
      </c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</row>
    <row r="25" spans="1:261" ht="15" customHeight="1" thickBot="1" x14ac:dyDescent="0.3">
      <c r="A25" s="104"/>
      <c r="B25" s="104"/>
      <c r="C25" s="104"/>
      <c r="J25"/>
      <c r="N25"/>
      <c r="Q25" s="104"/>
      <c r="R25" s="104"/>
      <c r="S25" s="104"/>
      <c r="T25" s="104"/>
      <c r="U25" s="104"/>
      <c r="V25" s="104"/>
      <c r="W25" s="156" t="s">
        <v>201</v>
      </c>
      <c r="X25" s="177">
        <f>+Y25/0.665</f>
        <v>6.1503759398496234</v>
      </c>
      <c r="Y25" s="156">
        <v>4.09</v>
      </c>
      <c r="Z25" s="178">
        <f t="shared" ref="Z25:Z26" si="1">+Y25*AA25</f>
        <v>10.225</v>
      </c>
      <c r="AA25" s="178">
        <f>1/0.8*2</f>
        <v>2.5</v>
      </c>
      <c r="AB25" s="104"/>
      <c r="AC25" s="169"/>
      <c r="AD25" s="169"/>
      <c r="AE25" s="169"/>
      <c r="AF25" s="169"/>
      <c r="AG25" s="104"/>
      <c r="AH25" s="104"/>
      <c r="AI25" s="157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59" t="s">
        <v>221</v>
      </c>
      <c r="AU25" s="159">
        <f>+AU22+($AR$15*2400)</f>
        <v>259</v>
      </c>
      <c r="AV25" s="159">
        <f>+AV22+($AR$15*2400)</f>
        <v>302</v>
      </c>
      <c r="AW25" s="159">
        <f>+AW22+($AR$15*2400)</f>
        <v>271</v>
      </c>
      <c r="AX25" s="159">
        <f>+AX22+($AR$15*2400)</f>
        <v>322</v>
      </c>
      <c r="AY25" s="159"/>
      <c r="AZ25" s="159"/>
      <c r="BA25" s="159"/>
      <c r="BB25" s="159">
        <f>+IF(K19=AL29,IF(L19=AQ29,AU25,AV25),IF(L19=AQ29,AW25,AX25))+BA25</f>
        <v>259</v>
      </c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</row>
    <row r="26" spans="1:261" ht="15" customHeight="1" thickTop="1" thickBot="1" x14ac:dyDescent="0.3">
      <c r="A26" s="104"/>
      <c r="B26" s="104"/>
      <c r="C26" s="104"/>
      <c r="D26" s="253">
        <f>+G17</f>
        <v>6.1503759398496234</v>
      </c>
      <c r="E26" s="254"/>
      <c r="H26" s="123">
        <f>IF(+I17=0,"choisir un entrevous ou seacisol",I17)</f>
        <v>-4.8600000000000003</v>
      </c>
      <c r="I26" s="117"/>
      <c r="J26" s="118">
        <f>+K17</f>
        <v>1.444</v>
      </c>
      <c r="K26" s="117"/>
      <c r="L26" s="241">
        <f>+P17</f>
        <v>13.986999999999998</v>
      </c>
      <c r="M26" s="242"/>
      <c r="N26" s="117"/>
      <c r="O26" s="117"/>
      <c r="P26" s="117"/>
      <c r="Q26" s="179"/>
      <c r="R26" s="104"/>
      <c r="S26" s="104"/>
      <c r="T26" s="104"/>
      <c r="U26" s="104"/>
      <c r="V26" s="104"/>
      <c r="W26" s="156" t="s">
        <v>228</v>
      </c>
      <c r="X26" s="177">
        <f>+Y26/0.63</f>
        <v>6.4920634920634921</v>
      </c>
      <c r="Y26" s="156">
        <v>4.09</v>
      </c>
      <c r="Z26" s="178">
        <f t="shared" si="1"/>
        <v>11.205479452054794</v>
      </c>
      <c r="AA26" s="178">
        <f>1/0.73*2</f>
        <v>2.7397260273972601</v>
      </c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59" t="s">
        <v>222</v>
      </c>
      <c r="AU26" s="180">
        <f>+IF($G$19=$Y$34,1/0.63*$AB$34,IF($G$19=$Y$35,1/0.63*$AB$35,1/0.63*$AB$36))</f>
        <v>0</v>
      </c>
      <c r="AV26" s="180">
        <f>+IF($G$19=$Y$34,1/0.73*$AB$34,IF($G$19=$Y$35,1/0.73*$AB$35,1/0.73*$AB$36))</f>
        <v>0</v>
      </c>
      <c r="AW26" s="180">
        <f>+IF($G$19=$Y$34,1/0.665*$AB$34,IF($G$19=$Y$35,1/0.665*$AB$35,1/0.665*$AB$36))</f>
        <v>0</v>
      </c>
      <c r="AX26" s="180">
        <f>+IF($G$19=$Y$34,1/0.8*$AB$34,IF($G$19=$Y$35,1/0.8*$AB$35,1/0.8*$AB$36))</f>
        <v>0</v>
      </c>
      <c r="AY26" s="159"/>
      <c r="AZ26" s="159"/>
      <c r="BA26" s="159"/>
      <c r="BB26" s="159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  <c r="IW26" s="104"/>
      <c r="IX26" s="104"/>
      <c r="IY26" s="104"/>
      <c r="IZ26" s="104"/>
      <c r="JA26" s="104"/>
    </row>
    <row r="27" spans="1:261" ht="13.5" thickTop="1" x14ac:dyDescent="0.2">
      <c r="A27" s="104"/>
      <c r="B27" s="104"/>
      <c r="C27" s="104"/>
      <c r="D27" s="164"/>
      <c r="E27" s="164"/>
      <c r="F27" s="164"/>
      <c r="G27" s="164"/>
      <c r="H27" s="184"/>
      <c r="I27" s="185"/>
      <c r="J27" s="185"/>
      <c r="K27" s="185"/>
      <c r="L27" s="185"/>
      <c r="M27" s="186"/>
      <c r="N27" s="185"/>
      <c r="O27" s="185"/>
      <c r="P27" s="185"/>
      <c r="Q27" s="179"/>
      <c r="R27" s="104"/>
      <c r="S27" s="104"/>
      <c r="T27" s="104"/>
      <c r="U27" s="104"/>
      <c r="V27" s="104"/>
      <c r="W27" s="156" t="s">
        <v>288</v>
      </c>
      <c r="X27" s="181" t="s">
        <v>289</v>
      </c>
      <c r="Y27" s="156" t="s">
        <v>224</v>
      </c>
      <c r="Z27" s="181" t="s">
        <v>289</v>
      </c>
      <c r="AA27" s="104"/>
      <c r="AB27" s="104"/>
      <c r="AC27" s="156" t="s">
        <v>225</v>
      </c>
      <c r="AD27" s="169"/>
      <c r="AE27" s="169"/>
      <c r="AF27" s="169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  <c r="IW27" s="104"/>
      <c r="IX27" s="104"/>
      <c r="IY27" s="104"/>
      <c r="IZ27" s="104"/>
      <c r="JA27" s="104"/>
    </row>
    <row r="28" spans="1:261" ht="15.75" x14ac:dyDescent="0.25">
      <c r="A28" s="104"/>
      <c r="B28" s="104"/>
      <c r="C28" s="104"/>
      <c r="D28" s="243" t="s">
        <v>226</v>
      </c>
      <c r="E28" s="244"/>
      <c r="F28" s="244"/>
      <c r="G28" s="244"/>
      <c r="H28" s="245"/>
      <c r="J28" s="151"/>
      <c r="K28" s="164"/>
      <c r="L28" s="190"/>
      <c r="M28" s="164"/>
      <c r="N28" s="165"/>
      <c r="O28" s="164"/>
      <c r="P28" s="164"/>
      <c r="Q28" s="164"/>
      <c r="R28" s="104"/>
      <c r="S28" s="104"/>
      <c r="T28" s="104"/>
      <c r="U28" s="104"/>
      <c r="V28" s="104"/>
      <c r="W28" s="156"/>
      <c r="X28" s="181"/>
      <c r="Y28" s="156"/>
      <c r="Z28" s="181"/>
      <c r="AA28" s="104"/>
      <c r="AB28" s="104"/>
      <c r="AC28" s="156" t="s">
        <v>227</v>
      </c>
      <c r="AD28" s="169"/>
      <c r="AE28" s="169"/>
      <c r="AF28" s="169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  <c r="IW28" s="104"/>
      <c r="IX28" s="104"/>
      <c r="IY28" s="104"/>
      <c r="IZ28" s="104"/>
      <c r="JA28" s="104"/>
    </row>
    <row r="29" spans="1:261" ht="15.75" x14ac:dyDescent="0.25">
      <c r="A29" s="104"/>
      <c r="B29" s="104"/>
      <c r="C29" s="104"/>
      <c r="D29" s="246" t="str">
        <f>IF(E17="s","plancher"&amp;" "&amp;+VLOOKUP(H17,U42:V70,2,FALSE)&amp;" "&amp;"+"&amp;" "&amp;M17,"plancher"&amp;" "&amp;+VLOOKUP(H17,U42:V70,2,FALSE)&amp;" "&amp;"+"&amp;" "&amp;M17&amp;" jum")</f>
        <v>plancher EBS  15 + 5</v>
      </c>
      <c r="E29" s="247"/>
      <c r="F29" s="247"/>
      <c r="G29" s="247"/>
      <c r="H29" s="248"/>
      <c r="J29" s="151"/>
      <c r="K29" s="164"/>
      <c r="L29" s="191"/>
      <c r="M29" s="164"/>
      <c r="N29" s="165"/>
      <c r="O29" s="164"/>
      <c r="P29" s="164"/>
      <c r="Q29" s="164"/>
      <c r="R29" s="104"/>
      <c r="S29" s="104"/>
      <c r="T29" s="104"/>
      <c r="U29" s="104"/>
      <c r="V29" s="104"/>
      <c r="W29" s="156"/>
      <c r="X29" s="181"/>
      <c r="Y29" s="156"/>
      <c r="Z29" s="181"/>
      <c r="AA29" s="104"/>
      <c r="AB29" s="104"/>
      <c r="AC29" s="156" t="s">
        <v>229</v>
      </c>
      <c r="AD29" s="169"/>
      <c r="AE29" s="169"/>
      <c r="AF29" s="169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  <c r="IW29" s="104"/>
      <c r="IX29" s="104"/>
      <c r="IY29" s="104"/>
      <c r="IZ29" s="104"/>
      <c r="JA29" s="104"/>
    </row>
    <row r="30" spans="1:261" ht="13.5" thickBot="1" x14ac:dyDescent="0.25">
      <c r="A30" s="104"/>
      <c r="B30" s="104"/>
      <c r="C30" s="104"/>
      <c r="D30" s="182"/>
      <c r="E30" s="182"/>
      <c r="F30" s="169"/>
      <c r="G30" s="163"/>
      <c r="H30" s="104"/>
      <c r="I30" s="164"/>
      <c r="J30" s="151"/>
      <c r="K30" s="164"/>
      <c r="L30" s="104"/>
      <c r="M30" s="104"/>
      <c r="N30" s="151"/>
      <c r="O30" s="164"/>
      <c r="P30" s="164"/>
      <c r="Q30" s="16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  <c r="IW30" s="104"/>
      <c r="IX30" s="104"/>
      <c r="IY30" s="104"/>
      <c r="IZ30" s="104"/>
      <c r="JA30" s="104"/>
    </row>
    <row r="31" spans="1:261" ht="13.5" thickTop="1" x14ac:dyDescent="0.2">
      <c r="A31" s="104"/>
      <c r="B31" s="104"/>
      <c r="C31" s="104"/>
      <c r="D31" s="104"/>
      <c r="E31" s="104"/>
      <c r="F31" s="104"/>
      <c r="G31" s="104"/>
      <c r="H31" s="104"/>
      <c r="I31" s="104"/>
      <c r="J31" s="151"/>
      <c r="L31" s="249">
        <f>IF(D17=W27,H26+J26+L26,+D26+H26+J26+L26)</f>
        <v>16.721375939849622</v>
      </c>
      <c r="M31" s="250"/>
      <c r="Q31" s="240" t="s">
        <v>361</v>
      </c>
      <c r="R31" s="240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  <c r="HO31" s="104"/>
      <c r="HP31" s="104"/>
      <c r="HQ31" s="104"/>
      <c r="HR31" s="104"/>
      <c r="HS31" s="104"/>
      <c r="HT31" s="104"/>
      <c r="HU31" s="104"/>
      <c r="HV31" s="104"/>
      <c r="HW31" s="104"/>
      <c r="HX31" s="104"/>
      <c r="HY31" s="104"/>
      <c r="HZ31" s="104"/>
      <c r="IA31" s="104"/>
      <c r="IB31" s="104"/>
      <c r="IC31" s="104"/>
      <c r="ID31" s="104"/>
      <c r="IE31" s="104"/>
      <c r="IF31" s="104"/>
      <c r="IG31" s="104"/>
      <c r="IH31" s="104"/>
      <c r="II31" s="104"/>
      <c r="IJ31" s="104"/>
      <c r="IK31" s="104"/>
      <c r="IL31" s="104"/>
      <c r="IM31" s="104"/>
      <c r="IN31" s="104"/>
      <c r="IO31" s="104"/>
      <c r="IP31" s="104"/>
      <c r="IQ31" s="104"/>
      <c r="IR31" s="104"/>
      <c r="IS31" s="104"/>
      <c r="IT31" s="104"/>
      <c r="IU31" s="104"/>
      <c r="IV31" s="104"/>
      <c r="IW31" s="104"/>
      <c r="IX31" s="104"/>
      <c r="IY31" s="104"/>
      <c r="IZ31" s="104"/>
      <c r="JA31" s="104"/>
    </row>
    <row r="32" spans="1:261" ht="13.5" thickBot="1" x14ac:dyDescent="0.25">
      <c r="A32" s="104"/>
      <c r="B32" s="104"/>
      <c r="C32" s="104"/>
      <c r="D32" s="192"/>
      <c r="E32" s="192"/>
      <c r="F32" s="104"/>
      <c r="G32" s="104"/>
      <c r="H32" s="104"/>
      <c r="I32" s="104"/>
      <c r="J32" s="151"/>
      <c r="L32" s="251"/>
      <c r="M32" s="252"/>
      <c r="Q32" s="240"/>
      <c r="R32" s="240"/>
      <c r="S32" s="104"/>
      <c r="T32" s="104"/>
      <c r="U32" s="104"/>
      <c r="V32" s="104"/>
      <c r="W32" s="104"/>
      <c r="X32" s="104" t="s">
        <v>230</v>
      </c>
      <c r="Y32" s="182" t="s">
        <v>168</v>
      </c>
      <c r="Z32" s="104"/>
      <c r="AA32" s="104"/>
      <c r="AB32" s="104"/>
      <c r="AC32" s="104" t="s">
        <v>231</v>
      </c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  <c r="HO32" s="104"/>
      <c r="HP32" s="104"/>
      <c r="HQ32" s="104"/>
      <c r="HR32" s="104"/>
      <c r="HS32" s="104"/>
      <c r="HT32" s="104"/>
      <c r="HU32" s="104"/>
      <c r="HV32" s="104"/>
      <c r="HW32" s="104"/>
      <c r="HX32" s="104"/>
      <c r="HY32" s="104"/>
      <c r="HZ32" s="104"/>
      <c r="IA32" s="104"/>
      <c r="IB32" s="104"/>
      <c r="IC32" s="104"/>
      <c r="ID32" s="104"/>
      <c r="IE32" s="104"/>
      <c r="IF32" s="104"/>
      <c r="IG32" s="104"/>
      <c r="IH32" s="104"/>
      <c r="II32" s="104"/>
      <c r="IJ32" s="104"/>
      <c r="IK32" s="104"/>
      <c r="IL32" s="104"/>
      <c r="IM32" s="104"/>
      <c r="IN32" s="104"/>
      <c r="IO32" s="104"/>
      <c r="IP32" s="104"/>
      <c r="IQ32" s="104"/>
      <c r="IR32" s="104"/>
      <c r="IS32" s="104"/>
      <c r="IT32" s="104"/>
      <c r="IU32" s="104"/>
      <c r="IV32" s="104"/>
      <c r="IW32" s="104"/>
      <c r="IX32" s="104"/>
      <c r="IY32" s="104"/>
      <c r="IZ32" s="104"/>
      <c r="JA32" s="104"/>
    </row>
    <row r="33" spans="1:261" ht="13.5" thickTop="1" x14ac:dyDescent="0.2">
      <c r="A33" s="104"/>
      <c r="B33" s="104"/>
      <c r="C33" s="104"/>
      <c r="D33" s="104"/>
      <c r="E33" s="104"/>
      <c r="F33" s="104"/>
      <c r="G33" s="104"/>
      <c r="H33" s="104"/>
      <c r="I33" s="104"/>
      <c r="J33" s="151"/>
      <c r="K33" s="104"/>
      <c r="L33" s="104"/>
      <c r="M33" s="104"/>
      <c r="N33" s="151"/>
      <c r="O33" s="104"/>
      <c r="P33" s="104"/>
      <c r="Q33" s="104"/>
      <c r="R33" s="104"/>
      <c r="S33" s="104"/>
      <c r="T33" s="104"/>
      <c r="U33" s="104"/>
      <c r="V33" s="104"/>
      <c r="W33" s="104" t="s">
        <v>19</v>
      </c>
      <c r="X33" s="104">
        <v>-4.68</v>
      </c>
      <c r="Y33" s="157">
        <v>0</v>
      </c>
      <c r="Z33" s="104" t="s">
        <v>232</v>
      </c>
      <c r="AA33" s="104"/>
      <c r="AB33" s="104"/>
      <c r="AC33" s="156" t="s">
        <v>233</v>
      </c>
      <c r="AD33" s="156"/>
      <c r="AE33" s="156"/>
      <c r="AF33" s="156"/>
      <c r="AG33" s="156">
        <v>1.23</v>
      </c>
      <c r="AH33" s="156" t="s">
        <v>234</v>
      </c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  <c r="IW33" s="104"/>
      <c r="IX33" s="104"/>
      <c r="IY33" s="104"/>
      <c r="IZ33" s="104"/>
      <c r="JA33" s="104"/>
    </row>
    <row r="34" spans="1:261" ht="15" x14ac:dyDescent="0.25">
      <c r="A34" s="104"/>
      <c r="B34" s="104"/>
      <c r="C34" s="104"/>
      <c r="D34" s="104"/>
      <c r="E34" s="104"/>
      <c r="F34" s="104"/>
      <c r="G34" s="104"/>
      <c r="H34" s="104"/>
      <c r="I34" s="104"/>
      <c r="J34" s="151"/>
      <c r="K34" s="104"/>
      <c r="L34" s="193"/>
      <c r="M34" s="104"/>
      <c r="N34" s="151"/>
      <c r="O34" s="104"/>
      <c r="P34" s="104"/>
      <c r="Q34" s="104"/>
      <c r="R34" s="104"/>
      <c r="S34" s="104"/>
      <c r="T34" s="104"/>
      <c r="U34" s="104"/>
      <c r="V34" s="104"/>
      <c r="W34" s="104" t="s">
        <v>235</v>
      </c>
      <c r="X34" s="104">
        <v>6.24</v>
      </c>
      <c r="Y34" s="157">
        <v>0</v>
      </c>
      <c r="Z34" s="104" t="s">
        <v>236</v>
      </c>
      <c r="AA34" s="104"/>
      <c r="AB34" s="104"/>
      <c r="AC34" s="156" t="s">
        <v>237</v>
      </c>
      <c r="AD34" s="156"/>
      <c r="AE34" s="156"/>
      <c r="AF34" s="156"/>
      <c r="AG34" s="156">
        <v>3.68</v>
      </c>
      <c r="AH34" s="156" t="s">
        <v>234</v>
      </c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  <c r="HO34" s="104"/>
      <c r="HP34" s="104"/>
      <c r="HQ34" s="104"/>
      <c r="HR34" s="104"/>
      <c r="HS34" s="104"/>
      <c r="HT34" s="104"/>
      <c r="HU34" s="104"/>
      <c r="HV34" s="104"/>
      <c r="HW34" s="104"/>
      <c r="HX34" s="104"/>
      <c r="HY34" s="104"/>
      <c r="HZ34" s="104"/>
      <c r="IA34" s="104"/>
      <c r="IB34" s="104"/>
      <c r="IC34" s="104"/>
      <c r="ID34" s="104"/>
      <c r="IE34" s="104"/>
      <c r="IF34" s="104"/>
      <c r="IG34" s="104"/>
      <c r="IH34" s="104"/>
      <c r="II34" s="104"/>
      <c r="IJ34" s="104"/>
      <c r="IK34" s="104"/>
      <c r="IL34" s="104"/>
      <c r="IM34" s="104"/>
      <c r="IN34" s="104"/>
      <c r="IO34" s="104"/>
      <c r="IP34" s="104"/>
      <c r="IQ34" s="104"/>
      <c r="IR34" s="104"/>
      <c r="IS34" s="104"/>
      <c r="IT34" s="104"/>
      <c r="IU34" s="104"/>
      <c r="IV34" s="104"/>
      <c r="IW34" s="104"/>
      <c r="IX34" s="104"/>
      <c r="IY34" s="104"/>
      <c r="IZ34" s="104"/>
      <c r="JA34" s="104"/>
    </row>
    <row r="35" spans="1:261" x14ac:dyDescent="0.2">
      <c r="A35" s="104"/>
      <c r="B35" s="104"/>
      <c r="C35" s="104"/>
      <c r="D35" s="104"/>
      <c r="E35" s="104"/>
      <c r="F35" s="178"/>
      <c r="G35" s="104"/>
      <c r="H35" s="104"/>
      <c r="I35" s="104"/>
      <c r="J35" s="151"/>
      <c r="K35" s="104"/>
      <c r="L35" s="104"/>
      <c r="M35" s="104"/>
      <c r="N35" s="151"/>
      <c r="O35" s="104"/>
      <c r="P35" s="104"/>
      <c r="Q35" s="104"/>
      <c r="R35" s="104"/>
      <c r="S35" s="104"/>
      <c r="T35" s="104"/>
      <c r="U35" s="104"/>
      <c r="V35" s="104"/>
      <c r="W35" s="104" t="s">
        <v>238</v>
      </c>
      <c r="X35" s="104">
        <v>17.600000000000001</v>
      </c>
      <c r="Y35" s="183">
        <v>8.75</v>
      </c>
      <c r="Z35" s="104" t="s">
        <v>232</v>
      </c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  <c r="IW35" s="104"/>
      <c r="IX35" s="104"/>
      <c r="IY35" s="104"/>
      <c r="IZ35" s="104"/>
      <c r="JA35" s="104"/>
    </row>
    <row r="36" spans="1:261" ht="15.75" x14ac:dyDescent="0.2">
      <c r="A36" s="104"/>
      <c r="B36" s="104"/>
      <c r="C36" s="104"/>
      <c r="D36" s="187" t="s">
        <v>239</v>
      </c>
      <c r="E36" s="187"/>
      <c r="F36" s="178"/>
      <c r="G36" s="104"/>
      <c r="H36" s="104"/>
      <c r="I36" s="104"/>
      <c r="J36" s="151"/>
      <c r="K36" s="104"/>
      <c r="L36" s="104"/>
      <c r="M36" s="104"/>
      <c r="N36" s="151"/>
      <c r="O36" s="104"/>
      <c r="P36" s="104"/>
      <c r="Q36" s="104"/>
      <c r="R36" s="104"/>
      <c r="S36" s="104"/>
      <c r="T36" s="104"/>
      <c r="U36" s="104"/>
      <c r="V36" s="104"/>
      <c r="W36" s="104" t="s">
        <v>240</v>
      </c>
      <c r="X36" s="104">
        <v>17.600000000000001</v>
      </c>
      <c r="Y36" s="183">
        <v>6.33</v>
      </c>
      <c r="Z36" s="104" t="s">
        <v>232</v>
      </c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  <c r="IW36" s="104"/>
      <c r="IX36" s="104"/>
      <c r="IY36" s="104"/>
      <c r="IZ36" s="104"/>
      <c r="JA36" s="104"/>
    </row>
    <row r="37" spans="1:261" ht="15" x14ac:dyDescent="0.25">
      <c r="A37" s="104"/>
      <c r="B37" s="104"/>
      <c r="C37" s="104"/>
      <c r="D37" s="188" t="str">
        <f>+IF(D17=W24,AG39,AG40)</f>
        <v>FDES_Poutrelle_BP H 12_15 cm_03.2020 n°1-73:2020</v>
      </c>
      <c r="E37" s="188"/>
      <c r="F37" s="178"/>
      <c r="G37" s="104"/>
      <c r="H37" s="104"/>
      <c r="I37" s="104"/>
      <c r="J37" s="151"/>
      <c r="K37" s="104"/>
      <c r="L37" s="104"/>
      <c r="M37" s="104"/>
      <c r="N37" s="151"/>
      <c r="O37" s="104"/>
      <c r="P37" s="104"/>
      <c r="Q37" s="104"/>
      <c r="R37" s="104"/>
      <c r="S37" s="104"/>
      <c r="T37" s="104"/>
      <c r="U37" s="104"/>
      <c r="V37" s="104"/>
      <c r="W37" s="104" t="s">
        <v>241</v>
      </c>
      <c r="X37" s="104">
        <v>12.8</v>
      </c>
      <c r="Y37" s="183">
        <v>4.92</v>
      </c>
      <c r="Z37" s="104" t="s">
        <v>232</v>
      </c>
      <c r="AA37" s="104"/>
      <c r="AB37" s="104"/>
      <c r="AC37" s="104"/>
      <c r="AD37" s="104"/>
      <c r="AE37" s="104"/>
      <c r="AF37" s="104"/>
      <c r="AG37" s="104">
        <v>930</v>
      </c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  <c r="IW37" s="104"/>
      <c r="IX37" s="104"/>
      <c r="IY37" s="104"/>
      <c r="IZ37" s="104"/>
      <c r="JA37" s="104"/>
    </row>
    <row r="38" spans="1:261" ht="15" x14ac:dyDescent="0.25">
      <c r="A38" s="104"/>
      <c r="B38" s="104"/>
      <c r="C38" s="104"/>
      <c r="D38" s="189" t="str">
        <f>+VLOOKUP(H17,$W$42:$AG$70,11,FALSE)</f>
        <v>FDES_gamme EBS  INIES : 20250946611</v>
      </c>
      <c r="E38" s="189"/>
      <c r="F38" s="178"/>
      <c r="G38" s="104"/>
      <c r="H38" s="104"/>
      <c r="I38" s="104"/>
      <c r="J38" s="151"/>
      <c r="K38" s="104"/>
      <c r="L38" s="104"/>
      <c r="M38" s="104"/>
      <c r="N38" s="151"/>
      <c r="O38" s="104"/>
      <c r="P38" s="104"/>
      <c r="Q38" s="104"/>
      <c r="R38" s="104"/>
      <c r="S38" s="104"/>
      <c r="T38" s="104"/>
      <c r="U38" s="104"/>
      <c r="V38" s="104"/>
      <c r="W38" s="104" t="s">
        <v>242</v>
      </c>
      <c r="X38" s="104">
        <v>9.66</v>
      </c>
      <c r="Y38" s="183">
        <v>4.01</v>
      </c>
      <c r="Z38" s="104" t="s">
        <v>232</v>
      </c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  <c r="IW38" s="104"/>
      <c r="IX38" s="104"/>
      <c r="IY38" s="104"/>
      <c r="IZ38" s="104"/>
      <c r="JA38" s="104"/>
    </row>
    <row r="39" spans="1:261" ht="15" x14ac:dyDescent="0.25">
      <c r="A39" s="104"/>
      <c r="B39" s="104"/>
      <c r="C39" s="104"/>
      <c r="D39" s="188" t="str">
        <f>+AG72</f>
        <v>APA_FDES__Armatures catalogue_2023_06_v1.3</v>
      </c>
      <c r="E39" s="188"/>
      <c r="F39" s="178"/>
      <c r="G39" s="104"/>
      <c r="H39" s="104"/>
      <c r="I39" s="104"/>
      <c r="J39" s="151"/>
      <c r="K39" s="104"/>
      <c r="L39" s="104"/>
      <c r="M39" s="104"/>
      <c r="N39" s="151"/>
      <c r="O39" s="104"/>
      <c r="P39" s="104"/>
      <c r="Q39" s="104"/>
      <c r="R39" s="104"/>
      <c r="S39" s="104"/>
      <c r="T39" s="104"/>
      <c r="U39" s="104"/>
      <c r="V39" s="104"/>
      <c r="W39" s="104" t="s">
        <v>243</v>
      </c>
      <c r="X39" s="104">
        <v>9.66</v>
      </c>
      <c r="Y39" s="183">
        <v>3.36</v>
      </c>
      <c r="Z39" s="104" t="s">
        <v>232</v>
      </c>
      <c r="AA39" s="104"/>
      <c r="AB39" s="104"/>
      <c r="AC39" s="104"/>
      <c r="AD39" s="104"/>
      <c r="AE39" s="104"/>
      <c r="AF39" s="104"/>
      <c r="AG39" s="159" t="s">
        <v>244</v>
      </c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</row>
    <row r="40" spans="1:261" ht="15" x14ac:dyDescent="0.25">
      <c r="A40" s="104"/>
      <c r="B40" s="104"/>
      <c r="C40" s="104"/>
      <c r="D40" s="188" t="str">
        <f>+VLOOKUP(L17,W17:Y18,3,FALSE)</f>
        <v>Beton_(hors armature) pour dalle C25 30 XC1 XC2 CEMII A_07_2019</v>
      </c>
      <c r="E40" s="188"/>
      <c r="F40" s="178"/>
      <c r="G40" s="104"/>
      <c r="H40" s="104"/>
      <c r="I40" s="104"/>
      <c r="J40" s="151"/>
      <c r="K40" s="104"/>
      <c r="L40" s="104"/>
      <c r="M40" s="104"/>
      <c r="N40" s="151"/>
      <c r="O40" s="104"/>
      <c r="P40" s="104"/>
      <c r="Q40" s="104"/>
      <c r="R40" s="104"/>
      <c r="S40" s="104"/>
      <c r="T40" s="104"/>
      <c r="U40" s="104"/>
      <c r="V40" s="104"/>
      <c r="W40" s="104" t="s">
        <v>245</v>
      </c>
      <c r="X40" s="104">
        <v>9.66</v>
      </c>
      <c r="Y40" s="183">
        <v>2.99</v>
      </c>
      <c r="Z40" s="104" t="s">
        <v>232</v>
      </c>
      <c r="AA40" s="104" t="s">
        <v>72</v>
      </c>
      <c r="AB40" s="104" t="s">
        <v>72</v>
      </c>
      <c r="AC40" s="104" t="s">
        <v>72</v>
      </c>
      <c r="AD40" s="104" t="s">
        <v>75</v>
      </c>
      <c r="AE40" s="104" t="s">
        <v>75</v>
      </c>
      <c r="AF40" s="104" t="s">
        <v>75</v>
      </c>
      <c r="AG40" s="159" t="s">
        <v>246</v>
      </c>
      <c r="AH40" s="104"/>
      <c r="AI40" s="104"/>
      <c r="AJ40" s="104"/>
      <c r="AK40" s="104"/>
      <c r="AL40" s="104"/>
      <c r="AM40" s="183"/>
      <c r="AN40" s="104"/>
      <c r="AO40" s="104" t="s">
        <v>72</v>
      </c>
      <c r="AP40" s="104" t="s">
        <v>72</v>
      </c>
      <c r="AQ40" s="104" t="s">
        <v>72</v>
      </c>
      <c r="AR40" s="104" t="s">
        <v>75</v>
      </c>
      <c r="AS40" s="104" t="s">
        <v>75</v>
      </c>
      <c r="AT40" s="104" t="s">
        <v>75</v>
      </c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</row>
    <row r="41" spans="1:261" ht="15" x14ac:dyDescent="0.25">
      <c r="A41" s="104"/>
      <c r="B41" s="104"/>
      <c r="C41" s="104"/>
      <c r="D41" s="189"/>
      <c r="E41" s="189"/>
      <c r="F41" s="178"/>
      <c r="G41" s="104"/>
      <c r="H41" s="104"/>
      <c r="I41" s="104"/>
      <c r="J41" s="151"/>
      <c r="K41" s="104"/>
      <c r="L41" s="104"/>
      <c r="M41" s="104"/>
      <c r="N41" s="151"/>
      <c r="O41" s="104"/>
      <c r="P41" s="104"/>
      <c r="Q41" s="104"/>
      <c r="R41" s="104"/>
      <c r="S41" s="104"/>
      <c r="T41" s="104"/>
      <c r="U41" s="104"/>
      <c r="V41" s="104"/>
      <c r="W41" s="104" t="s">
        <v>247</v>
      </c>
      <c r="X41" s="104">
        <v>9.66</v>
      </c>
      <c r="Y41" s="183">
        <v>0.91</v>
      </c>
      <c r="Z41" s="104" t="s">
        <v>232</v>
      </c>
      <c r="AA41" s="104">
        <v>120</v>
      </c>
      <c r="AB41" s="104" t="s">
        <v>248</v>
      </c>
      <c r="AC41" s="170">
        <v>930</v>
      </c>
      <c r="AD41" s="104">
        <v>120</v>
      </c>
      <c r="AE41" s="170">
        <v>137</v>
      </c>
      <c r="AF41" s="170">
        <v>930</v>
      </c>
      <c r="AG41" s="104"/>
      <c r="AH41" s="104"/>
      <c r="AI41" s="104"/>
      <c r="AJ41" s="104"/>
      <c r="AK41" s="104"/>
      <c r="AL41" s="104"/>
      <c r="AM41" s="183"/>
      <c r="AN41" s="104"/>
      <c r="AO41" s="104">
        <v>120</v>
      </c>
      <c r="AP41" s="104" t="s">
        <v>248</v>
      </c>
      <c r="AQ41" s="170">
        <v>930</v>
      </c>
      <c r="AR41" s="104">
        <v>120</v>
      </c>
      <c r="AS41" s="170">
        <v>137</v>
      </c>
      <c r="AT41" s="170">
        <v>930</v>
      </c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  <c r="IW41" s="104"/>
      <c r="IX41" s="104"/>
      <c r="IY41" s="104"/>
      <c r="IZ41" s="104"/>
      <c r="JA41" s="104"/>
    </row>
    <row r="42" spans="1:261" ht="15" x14ac:dyDescent="0.25">
      <c r="A42" s="104"/>
      <c r="B42" s="104"/>
      <c r="C42" s="104"/>
      <c r="D42" s="104"/>
      <c r="E42" s="104"/>
      <c r="F42" s="104"/>
      <c r="G42" s="104"/>
      <c r="H42" s="104"/>
      <c r="I42" s="104"/>
      <c r="J42" s="151"/>
      <c r="K42" s="104"/>
      <c r="L42" s="104"/>
      <c r="M42" s="104"/>
      <c r="N42" s="151"/>
      <c r="O42" s="104"/>
      <c r="P42" s="104"/>
      <c r="Q42" s="104"/>
      <c r="R42" s="104"/>
      <c r="S42" s="104"/>
      <c r="T42" s="104"/>
      <c r="U42" s="159" t="s">
        <v>185</v>
      </c>
      <c r="V42" s="104" t="s">
        <v>343</v>
      </c>
      <c r="W42" s="159" t="s">
        <v>185</v>
      </c>
      <c r="X42" s="104">
        <v>-4.8600000000000003</v>
      </c>
      <c r="Y42" s="157">
        <v>0</v>
      </c>
      <c r="Z42" s="104" t="s">
        <v>232</v>
      </c>
      <c r="AA42" s="104">
        <v>6.3E-2</v>
      </c>
      <c r="AB42" s="104">
        <v>6.1499999999999999E-2</v>
      </c>
      <c r="AC42" s="104">
        <v>6.1499999999999999E-2</v>
      </c>
      <c r="AD42" s="104">
        <v>180</v>
      </c>
      <c r="AE42" s="104">
        <v>179</v>
      </c>
      <c r="AF42" s="104">
        <v>179</v>
      </c>
      <c r="AG42" s="159" t="s">
        <v>249</v>
      </c>
      <c r="AH42" s="104"/>
      <c r="AI42" s="104">
        <v>12</v>
      </c>
      <c r="AJ42" s="159" t="s">
        <v>250</v>
      </c>
      <c r="AK42" s="159" t="s">
        <v>185</v>
      </c>
      <c r="AL42" s="104">
        <v>-4.1900000000000004</v>
      </c>
      <c r="AM42" s="157">
        <v>0</v>
      </c>
      <c r="AN42" s="104" t="s">
        <v>232</v>
      </c>
      <c r="AO42" s="104">
        <v>6.7000000000000004E-2</v>
      </c>
      <c r="AP42" s="104">
        <v>6.7000000000000004E-2</v>
      </c>
      <c r="AQ42" s="104">
        <v>6.5000000000000002E-2</v>
      </c>
      <c r="AR42" s="104">
        <v>208</v>
      </c>
      <c r="AS42" s="104">
        <v>221</v>
      </c>
      <c r="AT42" s="104">
        <v>207</v>
      </c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</row>
    <row r="43" spans="1:261" ht="15" x14ac:dyDescent="0.25">
      <c r="A43" s="104"/>
      <c r="B43" s="104"/>
      <c r="C43" s="104"/>
      <c r="D43" s="104"/>
      <c r="E43" s="104"/>
      <c r="F43" s="178"/>
      <c r="G43" s="104"/>
      <c r="H43" s="104"/>
      <c r="I43" s="104"/>
      <c r="J43" s="151"/>
      <c r="K43" s="104"/>
      <c r="L43" s="104"/>
      <c r="M43" s="104"/>
      <c r="N43" s="151"/>
      <c r="O43" s="104"/>
      <c r="P43" s="104"/>
      <c r="Q43" s="104"/>
      <c r="R43" s="104"/>
      <c r="S43" s="104"/>
      <c r="T43" s="104"/>
      <c r="U43" s="159" t="s">
        <v>188</v>
      </c>
      <c r="V43" s="104" t="s">
        <v>344</v>
      </c>
      <c r="W43" s="159" t="s">
        <v>188</v>
      </c>
      <c r="X43" s="104">
        <v>-4.8600000000000003</v>
      </c>
      <c r="Y43" s="157">
        <v>0</v>
      </c>
      <c r="Z43" s="104" t="s">
        <v>232</v>
      </c>
      <c r="AA43" s="104">
        <v>7.1400000000000005E-2</v>
      </c>
      <c r="AB43" s="104">
        <v>7.0999999999999994E-2</v>
      </c>
      <c r="AC43" s="104">
        <v>7.0000000000000007E-2</v>
      </c>
      <c r="AD43" s="104">
        <v>199</v>
      </c>
      <c r="AE43" s="104">
        <v>209</v>
      </c>
      <c r="AF43" s="104">
        <v>198</v>
      </c>
      <c r="AG43" s="159" t="s">
        <v>249</v>
      </c>
      <c r="AH43" s="104"/>
      <c r="AI43" s="104">
        <v>15</v>
      </c>
      <c r="AJ43" s="159" t="s">
        <v>250</v>
      </c>
      <c r="AK43" s="159" t="s">
        <v>188</v>
      </c>
      <c r="AL43" s="104">
        <v>-4.1900000000000004</v>
      </c>
      <c r="AM43" s="157">
        <v>0</v>
      </c>
      <c r="AN43" s="104" t="s">
        <v>232</v>
      </c>
      <c r="AO43" s="104">
        <v>7.8E-2</v>
      </c>
      <c r="AP43" s="104">
        <v>7.9000000000000001E-2</v>
      </c>
      <c r="AQ43" s="104">
        <v>7.6999999999999999E-2</v>
      </c>
      <c r="AR43" s="104">
        <v>234</v>
      </c>
      <c r="AS43" s="104">
        <v>251</v>
      </c>
      <c r="AT43" s="104">
        <v>233</v>
      </c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</row>
    <row r="44" spans="1:261" ht="15" x14ac:dyDescent="0.25">
      <c r="A44" s="104"/>
      <c r="B44" s="104"/>
      <c r="C44" s="104"/>
      <c r="D44" s="104"/>
      <c r="E44" s="104"/>
      <c r="F44" s="178"/>
      <c r="G44" s="104"/>
      <c r="H44" s="104"/>
      <c r="I44" s="104"/>
      <c r="J44" s="151"/>
      <c r="K44" s="104"/>
      <c r="L44" s="104"/>
      <c r="M44" s="104"/>
      <c r="N44" s="151"/>
      <c r="O44" s="104"/>
      <c r="P44" s="104"/>
      <c r="Q44" s="104"/>
      <c r="R44" s="104"/>
      <c r="S44" s="104"/>
      <c r="T44" s="104"/>
      <c r="U44" s="159" t="s">
        <v>196</v>
      </c>
      <c r="V44" s="104" t="s">
        <v>345</v>
      </c>
      <c r="W44" s="159" t="s">
        <v>196</v>
      </c>
      <c r="X44" s="104">
        <v>-4.8600000000000003</v>
      </c>
      <c r="Y44" s="157">
        <v>0</v>
      </c>
      <c r="Z44" s="104" t="s">
        <v>232</v>
      </c>
      <c r="AA44" s="104">
        <v>9.1700000000000004E-2</v>
      </c>
      <c r="AB44" s="104">
        <v>9.2600000000000002E-2</v>
      </c>
      <c r="AC44" s="104">
        <v>9.0200000000000002E-2</v>
      </c>
      <c r="AD44" s="104">
        <v>259</v>
      </c>
      <c r="AE44" s="104">
        <v>271</v>
      </c>
      <c r="AF44" s="104">
        <v>258</v>
      </c>
      <c r="AG44" s="159" t="s">
        <v>249</v>
      </c>
      <c r="AH44" s="104"/>
      <c r="AI44" s="104">
        <v>20</v>
      </c>
      <c r="AJ44" s="159" t="s">
        <v>250</v>
      </c>
      <c r="AK44" s="159" t="s">
        <v>196</v>
      </c>
      <c r="AL44" s="104">
        <v>-4.1900000000000004</v>
      </c>
      <c r="AM44" s="157">
        <v>0</v>
      </c>
      <c r="AN44" s="104" t="s">
        <v>232</v>
      </c>
      <c r="AO44" s="104">
        <v>0.1</v>
      </c>
      <c r="AP44" s="104">
        <v>0.11</v>
      </c>
      <c r="AQ44" s="104">
        <v>0.1</v>
      </c>
      <c r="AR44" s="104">
        <v>302</v>
      </c>
      <c r="AS44" s="104">
        <v>322</v>
      </c>
      <c r="AT44" s="104">
        <v>300</v>
      </c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</row>
    <row r="45" spans="1:261" ht="15" x14ac:dyDescent="0.25">
      <c r="A45" s="104"/>
      <c r="B45" s="104"/>
      <c r="C45" s="104"/>
      <c r="D45" s="104"/>
      <c r="E45" s="104"/>
      <c r="F45" s="178"/>
      <c r="G45" s="104"/>
      <c r="H45" s="104"/>
      <c r="I45" s="104"/>
      <c r="J45" s="151"/>
      <c r="K45" s="104"/>
      <c r="L45" s="104"/>
      <c r="M45" s="104"/>
      <c r="N45" s="151"/>
      <c r="O45" s="104"/>
      <c r="P45" s="104"/>
      <c r="Q45" s="104"/>
      <c r="R45" s="104"/>
      <c r="S45" s="104"/>
      <c r="T45" s="104"/>
      <c r="U45" s="159" t="s">
        <v>290</v>
      </c>
      <c r="V45" s="104" t="s">
        <v>346</v>
      </c>
      <c r="W45" s="159" t="s">
        <v>290</v>
      </c>
      <c r="X45" s="104">
        <v>1.46</v>
      </c>
      <c r="Y45" s="157">
        <v>0</v>
      </c>
      <c r="Z45" s="104" t="s">
        <v>232</v>
      </c>
      <c r="AA45" s="104">
        <v>7.1300000000000002E-2</v>
      </c>
      <c r="AB45" s="104">
        <v>7.1300000000000002E-2</v>
      </c>
      <c r="AC45" s="104">
        <v>7.0400000000000004E-2</v>
      </c>
      <c r="AD45" s="104">
        <v>196</v>
      </c>
      <c r="AE45" s="104">
        <v>205</v>
      </c>
      <c r="AF45" s="104">
        <v>195</v>
      </c>
      <c r="AG45" s="159" t="s">
        <v>251</v>
      </c>
      <c r="AH45" s="104"/>
      <c r="AI45" s="104">
        <v>12</v>
      </c>
      <c r="AJ45" s="159" t="s">
        <v>21</v>
      </c>
      <c r="AK45" s="159" t="s">
        <v>290</v>
      </c>
      <c r="AL45" s="104">
        <v>1.27</v>
      </c>
      <c r="AM45" s="157">
        <v>0</v>
      </c>
      <c r="AN45" s="104" t="s">
        <v>232</v>
      </c>
      <c r="AO45" s="104">
        <v>7.3999999999999996E-2</v>
      </c>
      <c r="AP45" s="104">
        <v>7.3999999999999996E-2</v>
      </c>
      <c r="AQ45" s="104">
        <v>7.1999999999999995E-2</v>
      </c>
      <c r="AR45" s="104">
        <v>222</v>
      </c>
      <c r="AS45" s="104">
        <v>236</v>
      </c>
      <c r="AT45" s="104">
        <v>221</v>
      </c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  <c r="IW45" s="104"/>
      <c r="IX45" s="104"/>
      <c r="IY45" s="104"/>
      <c r="IZ45" s="104"/>
      <c r="JA45" s="104"/>
    </row>
    <row r="46" spans="1:261" ht="15" x14ac:dyDescent="0.25">
      <c r="A46" s="104"/>
      <c r="B46" s="104"/>
      <c r="C46" s="104"/>
      <c r="D46" s="104"/>
      <c r="E46" s="104"/>
      <c r="F46" s="178"/>
      <c r="G46" s="104"/>
      <c r="H46" s="104"/>
      <c r="I46" s="104"/>
      <c r="J46" s="151"/>
      <c r="K46" s="104"/>
      <c r="L46" s="104"/>
      <c r="M46" s="104"/>
      <c r="N46" s="151"/>
      <c r="O46" s="104"/>
      <c r="P46" s="104"/>
      <c r="Q46" s="104"/>
      <c r="R46" s="104"/>
      <c r="S46" s="104"/>
      <c r="T46" s="104"/>
      <c r="U46" s="159" t="s">
        <v>291</v>
      </c>
      <c r="V46" s="104" t="s">
        <v>347</v>
      </c>
      <c r="W46" s="159" t="s">
        <v>291</v>
      </c>
      <c r="X46" s="104">
        <v>1.46</v>
      </c>
      <c r="Y46" s="157">
        <v>0</v>
      </c>
      <c r="Z46" s="104" t="s">
        <v>232</v>
      </c>
      <c r="AA46" s="104">
        <v>8.4000000000000005E-2</v>
      </c>
      <c r="AB46" s="104">
        <v>8.4699999999999998E-2</v>
      </c>
      <c r="AC46" s="104">
        <v>8.3299999999999999E-2</v>
      </c>
      <c r="AD46" s="104">
        <v>226</v>
      </c>
      <c r="AE46" s="104">
        <v>237</v>
      </c>
      <c r="AF46" s="104">
        <v>226</v>
      </c>
      <c r="AG46" s="159" t="s">
        <v>251</v>
      </c>
      <c r="AH46" s="104"/>
      <c r="AI46" s="104"/>
      <c r="AJ46" s="159" t="s">
        <v>21</v>
      </c>
      <c r="AK46" s="159" t="s">
        <v>291</v>
      </c>
      <c r="AL46" s="104">
        <v>1.27</v>
      </c>
      <c r="AM46" s="157">
        <v>0</v>
      </c>
      <c r="AN46" s="104" t="s">
        <v>232</v>
      </c>
      <c r="AO46" s="104">
        <v>8.8999999999999996E-2</v>
      </c>
      <c r="AP46" s="104">
        <v>0.09</v>
      </c>
      <c r="AQ46" s="104">
        <v>8.7599999999999997E-2</v>
      </c>
      <c r="AR46" s="104">
        <v>258</v>
      </c>
      <c r="AS46" s="104">
        <v>274</v>
      </c>
      <c r="AT46" s="104">
        <v>257</v>
      </c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  <c r="HO46" s="104"/>
      <c r="HP46" s="104"/>
      <c r="HQ46" s="104"/>
      <c r="HR46" s="104"/>
      <c r="HS46" s="104"/>
      <c r="HT46" s="104"/>
      <c r="HU46" s="104"/>
      <c r="HV46" s="104"/>
      <c r="HW46" s="104"/>
      <c r="HX46" s="104"/>
      <c r="HY46" s="104"/>
      <c r="HZ46" s="104"/>
      <c r="IA46" s="104"/>
      <c r="IB46" s="104"/>
      <c r="IC46" s="104"/>
      <c r="ID46" s="104"/>
      <c r="IE46" s="104"/>
      <c r="IF46" s="104"/>
      <c r="IG46" s="104"/>
      <c r="IH46" s="104"/>
      <c r="II46" s="104"/>
      <c r="IJ46" s="104"/>
      <c r="IK46" s="104"/>
      <c r="IL46" s="104"/>
      <c r="IM46" s="104"/>
      <c r="IN46" s="104"/>
      <c r="IO46" s="104"/>
      <c r="IP46" s="104"/>
      <c r="IQ46" s="104"/>
      <c r="IR46" s="104"/>
      <c r="IS46" s="104"/>
      <c r="IT46" s="104"/>
      <c r="IU46" s="104"/>
      <c r="IV46" s="104"/>
      <c r="IW46" s="104"/>
      <c r="IX46" s="104"/>
      <c r="IY46" s="104"/>
      <c r="IZ46" s="104"/>
      <c r="JA46" s="104"/>
    </row>
    <row r="47" spans="1:261" x14ac:dyDescent="0.2">
      <c r="A47" s="104"/>
      <c r="B47" s="104"/>
      <c r="C47" s="104"/>
      <c r="D47" s="104"/>
      <c r="E47" s="104"/>
      <c r="F47" s="178"/>
      <c r="G47" s="104"/>
      <c r="H47" s="104"/>
      <c r="I47" s="104"/>
      <c r="J47" s="151"/>
      <c r="K47" s="104"/>
      <c r="L47" s="104"/>
      <c r="M47" s="104"/>
      <c r="N47" s="151"/>
      <c r="O47" s="104"/>
      <c r="P47" s="104"/>
      <c r="Q47" s="104"/>
      <c r="R47" s="104"/>
      <c r="S47" s="104"/>
      <c r="T47" s="104"/>
      <c r="U47" s="194" t="s">
        <v>325</v>
      </c>
      <c r="V47" s="194" t="s">
        <v>325</v>
      </c>
      <c r="W47" s="194" t="s">
        <v>325</v>
      </c>
      <c r="X47" s="195">
        <v>16.989999999999998</v>
      </c>
      <c r="Y47" s="183">
        <v>8.75</v>
      </c>
      <c r="Z47" s="104" t="s">
        <v>232</v>
      </c>
      <c r="AA47" s="104">
        <v>6.2199999999999998E-2</v>
      </c>
      <c r="AB47" s="104">
        <v>6.0999999999999999E-2</v>
      </c>
      <c r="AC47" s="104">
        <v>6.0999999999999999E-2</v>
      </c>
      <c r="AD47" s="104">
        <v>172</v>
      </c>
      <c r="AE47" s="104">
        <v>180</v>
      </c>
      <c r="AF47" s="104">
        <v>171</v>
      </c>
      <c r="AG47" s="104" t="s">
        <v>252</v>
      </c>
      <c r="AH47" s="104"/>
      <c r="AI47" s="104">
        <v>12</v>
      </c>
      <c r="AJ47" s="194" t="s">
        <v>253</v>
      </c>
      <c r="AK47" s="194" t="s">
        <v>325</v>
      </c>
      <c r="AL47" s="195">
        <v>14.77</v>
      </c>
      <c r="AM47" s="183">
        <v>8.75</v>
      </c>
      <c r="AN47" s="104" t="s">
        <v>232</v>
      </c>
      <c r="AO47" s="104">
        <v>6.6000000000000003E-2</v>
      </c>
      <c r="AP47" s="104">
        <v>6.6000000000000003E-2</v>
      </c>
      <c r="AQ47" s="104">
        <v>6.5000000000000002E-2</v>
      </c>
      <c r="AR47" s="104">
        <v>201</v>
      </c>
      <c r="AS47" s="104">
        <v>215</v>
      </c>
      <c r="AT47" s="104">
        <v>200</v>
      </c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</row>
    <row r="48" spans="1:261" x14ac:dyDescent="0.2">
      <c r="A48" s="104"/>
      <c r="B48" s="104"/>
      <c r="C48" s="104"/>
      <c r="D48" s="104"/>
      <c r="E48" s="104"/>
      <c r="F48" s="178"/>
      <c r="G48" s="104"/>
      <c r="H48" s="104"/>
      <c r="I48" s="104"/>
      <c r="J48" s="151"/>
      <c r="K48" s="104"/>
      <c r="L48" s="104"/>
      <c r="M48" s="104"/>
      <c r="N48" s="151"/>
      <c r="O48" s="104"/>
      <c r="P48" s="104"/>
      <c r="Q48" s="104"/>
      <c r="R48" s="104"/>
      <c r="S48" s="104"/>
      <c r="T48" s="104"/>
      <c r="U48" s="194" t="s">
        <v>326</v>
      </c>
      <c r="V48" s="194" t="s">
        <v>326</v>
      </c>
      <c r="W48" s="194" t="s">
        <v>326</v>
      </c>
      <c r="X48" s="195">
        <v>16.989999999999998</v>
      </c>
      <c r="Y48" s="183">
        <v>8.75</v>
      </c>
      <c r="Z48" s="104" t="s">
        <v>232</v>
      </c>
      <c r="AA48" s="104">
        <v>7.5200000000000003E-2</v>
      </c>
      <c r="AB48" s="104">
        <v>7.4499999999999997E-2</v>
      </c>
      <c r="AC48" s="104">
        <v>7.3999999999999996E-2</v>
      </c>
      <c r="AD48" s="104">
        <v>202</v>
      </c>
      <c r="AE48" s="104">
        <v>201</v>
      </c>
      <c r="AF48" s="104">
        <v>201</v>
      </c>
      <c r="AG48" s="104" t="s">
        <v>252</v>
      </c>
      <c r="AH48" s="104"/>
      <c r="AI48" s="104">
        <v>15</v>
      </c>
      <c r="AJ48" s="194" t="s">
        <v>254</v>
      </c>
      <c r="AK48" s="194" t="s">
        <v>326</v>
      </c>
      <c r="AL48" s="195">
        <v>14.77</v>
      </c>
      <c r="AM48" s="183">
        <v>8.75</v>
      </c>
      <c r="AN48" s="104" t="s">
        <v>232</v>
      </c>
      <c r="AO48" s="104">
        <v>8.1000000000000003E-2</v>
      </c>
      <c r="AP48" s="104">
        <v>8.2600000000000007E-2</v>
      </c>
      <c r="AQ48" s="104">
        <v>0.08</v>
      </c>
      <c r="AR48" s="104">
        <v>237</v>
      </c>
      <c r="AS48" s="104">
        <v>253</v>
      </c>
      <c r="AT48" s="104">
        <v>235</v>
      </c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  <c r="IW48" s="104"/>
      <c r="IX48" s="104"/>
      <c r="IY48" s="104"/>
      <c r="IZ48" s="104"/>
      <c r="JA48" s="104"/>
    </row>
    <row r="49" spans="1:261" x14ac:dyDescent="0.2">
      <c r="A49" s="104"/>
      <c r="B49" s="104"/>
      <c r="C49" s="104"/>
      <c r="D49" s="104"/>
      <c r="E49" s="104"/>
      <c r="F49" s="178"/>
      <c r="G49" s="104"/>
      <c r="H49" s="104"/>
      <c r="I49" s="104"/>
      <c r="J49" s="151"/>
      <c r="K49" s="104"/>
      <c r="L49" s="104"/>
      <c r="M49" s="104"/>
      <c r="N49" s="151"/>
      <c r="O49" s="104"/>
      <c r="P49" s="104"/>
      <c r="Q49" s="104"/>
      <c r="R49" s="104"/>
      <c r="S49" s="104"/>
      <c r="T49" s="104"/>
      <c r="U49" s="194" t="s">
        <v>327</v>
      </c>
      <c r="V49" s="194" t="s">
        <v>327</v>
      </c>
      <c r="W49" s="194" t="s">
        <v>327</v>
      </c>
      <c r="X49" s="195">
        <f>+X48+1.2</f>
        <v>18.189999999999998</v>
      </c>
      <c r="Y49" s="183">
        <v>8.75</v>
      </c>
      <c r="Z49" s="104" t="s">
        <v>232</v>
      </c>
      <c r="AA49" s="104">
        <v>9.7000000000000003E-2</v>
      </c>
      <c r="AB49" s="104">
        <v>9.7500000000000003E-2</v>
      </c>
      <c r="AC49" s="104">
        <v>9.5200000000000007E-2</v>
      </c>
      <c r="AD49" s="104">
        <v>258</v>
      </c>
      <c r="AE49" s="104">
        <v>271</v>
      </c>
      <c r="AF49" s="104">
        <v>257</v>
      </c>
      <c r="AG49" s="104" t="s">
        <v>252</v>
      </c>
      <c r="AH49" s="104"/>
      <c r="AI49" s="104"/>
      <c r="AJ49" s="194" t="s">
        <v>254</v>
      </c>
      <c r="AK49" s="194" t="s">
        <v>327</v>
      </c>
      <c r="AL49" s="195">
        <v>15.81</v>
      </c>
      <c r="AM49" s="183">
        <v>8.75</v>
      </c>
      <c r="AN49" s="104" t="s">
        <v>232</v>
      </c>
      <c r="AO49" s="104">
        <v>9.7000000000000003E-2</v>
      </c>
      <c r="AP49" s="104">
        <v>9.7500000000000003E-2</v>
      </c>
      <c r="AQ49" s="104">
        <v>9.5200000000000007E-2</v>
      </c>
      <c r="AR49" s="104">
        <v>258</v>
      </c>
      <c r="AS49" s="104">
        <v>271</v>
      </c>
      <c r="AT49" s="104">
        <v>257</v>
      </c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</row>
    <row r="50" spans="1:261" x14ac:dyDescent="0.2">
      <c r="A50" s="104"/>
      <c r="B50" s="104"/>
      <c r="C50" s="104"/>
      <c r="D50" s="104"/>
      <c r="E50" s="104"/>
      <c r="F50" s="178"/>
      <c r="G50" s="104"/>
      <c r="H50" s="104"/>
      <c r="I50" s="104"/>
      <c r="J50" s="151"/>
      <c r="K50" s="104"/>
      <c r="L50" s="104"/>
      <c r="M50" s="104"/>
      <c r="N50" s="151"/>
      <c r="O50" s="104"/>
      <c r="P50" s="104"/>
      <c r="Q50" s="104"/>
      <c r="R50" s="104"/>
      <c r="S50" s="104"/>
      <c r="T50" s="104"/>
      <c r="U50" s="194" t="s">
        <v>328</v>
      </c>
      <c r="V50" s="194" t="s">
        <v>328</v>
      </c>
      <c r="W50" s="194" t="s">
        <v>328</v>
      </c>
      <c r="X50" s="195">
        <v>16.989999999999998</v>
      </c>
      <c r="Y50" s="183">
        <v>6.33</v>
      </c>
      <c r="Z50" s="104" t="s">
        <v>232</v>
      </c>
      <c r="AA50" s="104">
        <v>6.2199999999999998E-2</v>
      </c>
      <c r="AB50" s="104">
        <v>6.0999999999999999E-2</v>
      </c>
      <c r="AC50" s="104">
        <v>6.0999999999999999E-2</v>
      </c>
      <c r="AD50" s="104">
        <v>172</v>
      </c>
      <c r="AE50" s="104">
        <v>180</v>
      </c>
      <c r="AF50" s="104">
        <v>171</v>
      </c>
      <c r="AG50" s="104" t="s">
        <v>252</v>
      </c>
      <c r="AH50" s="104"/>
      <c r="AI50" s="104">
        <v>12</v>
      </c>
      <c r="AJ50" s="194" t="s">
        <v>255</v>
      </c>
      <c r="AK50" s="194" t="s">
        <v>328</v>
      </c>
      <c r="AL50" s="195">
        <v>14.77</v>
      </c>
      <c r="AM50" s="183">
        <v>6.33</v>
      </c>
      <c r="AN50" s="104" t="s">
        <v>232</v>
      </c>
      <c r="AO50" s="104">
        <v>6.6000000000000003E-2</v>
      </c>
      <c r="AP50" s="104">
        <v>6.6000000000000003E-2</v>
      </c>
      <c r="AQ50" s="104">
        <v>6.5000000000000002E-2</v>
      </c>
      <c r="AR50" s="104">
        <v>201</v>
      </c>
      <c r="AS50" s="104">
        <v>215</v>
      </c>
      <c r="AT50" s="104">
        <v>200</v>
      </c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  <c r="IW50" s="104"/>
      <c r="IX50" s="104"/>
      <c r="IY50" s="104"/>
      <c r="IZ50" s="104"/>
      <c r="JA50" s="104"/>
    </row>
    <row r="51" spans="1:261" x14ac:dyDescent="0.2">
      <c r="A51" s="104"/>
      <c r="B51" s="104"/>
      <c r="C51" s="104"/>
      <c r="D51" s="104"/>
      <c r="E51" s="104"/>
      <c r="F51" s="178"/>
      <c r="G51" s="104"/>
      <c r="H51" s="104"/>
      <c r="I51" s="104"/>
      <c r="J51" s="151"/>
      <c r="K51" s="104"/>
      <c r="L51" s="104"/>
      <c r="M51" s="104"/>
      <c r="N51" s="151"/>
      <c r="O51" s="104"/>
      <c r="P51" s="104"/>
      <c r="Q51" s="104"/>
      <c r="R51" s="104"/>
      <c r="S51" s="104"/>
      <c r="T51" s="104"/>
      <c r="U51" s="194" t="s">
        <v>329</v>
      </c>
      <c r="V51" s="194" t="s">
        <v>329</v>
      </c>
      <c r="W51" s="194" t="s">
        <v>329</v>
      </c>
      <c r="X51" s="195">
        <v>16.989999999999998</v>
      </c>
      <c r="Y51" s="183">
        <v>6.33</v>
      </c>
      <c r="Z51" s="104" t="s">
        <v>232</v>
      </c>
      <c r="AA51" s="104">
        <v>7.5200000000000003E-2</v>
      </c>
      <c r="AB51" s="104">
        <v>7.4499999999999997E-2</v>
      </c>
      <c r="AC51" s="104">
        <v>7.3999999999999996E-2</v>
      </c>
      <c r="AD51" s="104">
        <v>202</v>
      </c>
      <c r="AE51" s="104">
        <v>201</v>
      </c>
      <c r="AF51" s="104">
        <v>201</v>
      </c>
      <c r="AG51" s="104" t="s">
        <v>252</v>
      </c>
      <c r="AH51" s="104"/>
      <c r="AI51" s="104">
        <v>15</v>
      </c>
      <c r="AJ51" s="194" t="s">
        <v>256</v>
      </c>
      <c r="AK51" s="194" t="s">
        <v>329</v>
      </c>
      <c r="AL51" s="195">
        <v>14.77</v>
      </c>
      <c r="AM51" s="183">
        <v>6.33</v>
      </c>
      <c r="AN51" s="104" t="s">
        <v>232</v>
      </c>
      <c r="AO51" s="104">
        <v>8.1000000000000003E-2</v>
      </c>
      <c r="AP51" s="104">
        <v>8.2600000000000007E-2</v>
      </c>
      <c r="AQ51" s="104">
        <v>0.08</v>
      </c>
      <c r="AR51" s="104">
        <v>237</v>
      </c>
      <c r="AS51" s="104">
        <v>253</v>
      </c>
      <c r="AT51" s="104">
        <v>235</v>
      </c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  <c r="IW51" s="104"/>
      <c r="IX51" s="104"/>
      <c r="IY51" s="104"/>
      <c r="IZ51" s="104"/>
      <c r="JA51" s="104"/>
    </row>
    <row r="52" spans="1:261" x14ac:dyDescent="0.2">
      <c r="A52" s="104"/>
      <c r="B52" s="104"/>
      <c r="C52" s="104"/>
      <c r="D52" s="104"/>
      <c r="E52" s="104"/>
      <c r="F52" s="178"/>
      <c r="G52" s="104"/>
      <c r="H52" s="104"/>
      <c r="I52" s="104"/>
      <c r="J52" s="151"/>
      <c r="K52" s="104"/>
      <c r="L52" s="104"/>
      <c r="M52" s="104"/>
      <c r="N52" s="151"/>
      <c r="O52" s="104"/>
      <c r="P52" s="104"/>
      <c r="Q52" s="104"/>
      <c r="R52" s="104"/>
      <c r="S52" s="104"/>
      <c r="T52" s="104"/>
      <c r="U52" s="194" t="s">
        <v>330</v>
      </c>
      <c r="V52" s="194" t="s">
        <v>330</v>
      </c>
      <c r="W52" s="194" t="s">
        <v>330</v>
      </c>
      <c r="X52" s="195">
        <f>1.2+16.99</f>
        <v>18.189999999999998</v>
      </c>
      <c r="Y52" s="183">
        <v>6.33</v>
      </c>
      <c r="Z52" s="104" t="s">
        <v>232</v>
      </c>
      <c r="AA52" s="104">
        <v>9.7000000000000003E-2</v>
      </c>
      <c r="AB52" s="104">
        <v>9.7500000000000003E-2</v>
      </c>
      <c r="AC52" s="104">
        <v>9.5200000000000007E-2</v>
      </c>
      <c r="AD52" s="104">
        <v>258</v>
      </c>
      <c r="AE52" s="104">
        <v>271</v>
      </c>
      <c r="AF52" s="104">
        <v>257</v>
      </c>
      <c r="AG52" s="104" t="s">
        <v>252</v>
      </c>
      <c r="AH52" s="104"/>
      <c r="AI52" s="104">
        <v>20</v>
      </c>
      <c r="AJ52" s="194" t="s">
        <v>257</v>
      </c>
      <c r="AK52" s="194" t="s">
        <v>330</v>
      </c>
      <c r="AL52" s="195">
        <v>15.81</v>
      </c>
      <c r="AM52" s="183">
        <v>6.33</v>
      </c>
      <c r="AN52" s="104" t="s">
        <v>232</v>
      </c>
      <c r="AO52" s="104">
        <v>9.7000000000000003E-2</v>
      </c>
      <c r="AP52" s="104">
        <v>9.7500000000000003E-2</v>
      </c>
      <c r="AQ52" s="104">
        <v>9.5200000000000007E-2</v>
      </c>
      <c r="AR52" s="104">
        <v>258</v>
      </c>
      <c r="AS52" s="104">
        <v>271</v>
      </c>
      <c r="AT52" s="104">
        <v>257</v>
      </c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  <c r="IW52" s="104"/>
      <c r="IX52" s="104"/>
      <c r="IY52" s="104"/>
      <c r="IZ52" s="104"/>
      <c r="JA52" s="104"/>
    </row>
    <row r="53" spans="1:261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51"/>
      <c r="K53" s="104"/>
      <c r="L53" s="104"/>
      <c r="M53" s="104"/>
      <c r="N53" s="151"/>
      <c r="O53" s="104"/>
      <c r="P53" s="104"/>
      <c r="Q53" s="104"/>
      <c r="R53" s="104"/>
      <c r="S53" s="104"/>
      <c r="T53" s="104"/>
      <c r="U53" s="194" t="s">
        <v>331</v>
      </c>
      <c r="V53" s="194" t="s">
        <v>331</v>
      </c>
      <c r="W53" s="194" t="s">
        <v>331</v>
      </c>
      <c r="X53" s="195">
        <v>12.5</v>
      </c>
      <c r="Y53" s="183">
        <v>4.92</v>
      </c>
      <c r="Z53" s="104" t="s">
        <v>232</v>
      </c>
      <c r="AA53" s="104">
        <v>6.2199999999999998E-2</v>
      </c>
      <c r="AB53" s="104">
        <v>6.0999999999999999E-2</v>
      </c>
      <c r="AC53" s="104">
        <v>6.0999999999999999E-2</v>
      </c>
      <c r="AD53" s="104">
        <v>172</v>
      </c>
      <c r="AE53" s="104">
        <v>180</v>
      </c>
      <c r="AF53" s="104">
        <v>171</v>
      </c>
      <c r="AG53" s="104" t="s">
        <v>258</v>
      </c>
      <c r="AH53" s="104"/>
      <c r="AI53" s="104">
        <v>12</v>
      </c>
      <c r="AJ53" s="194" t="s">
        <v>259</v>
      </c>
      <c r="AK53" s="194" t="s">
        <v>331</v>
      </c>
      <c r="AL53" s="195">
        <v>10.87</v>
      </c>
      <c r="AM53" s="183">
        <v>4.92</v>
      </c>
      <c r="AN53" s="104" t="s">
        <v>232</v>
      </c>
      <c r="AO53" s="104">
        <v>6.6000000000000003E-2</v>
      </c>
      <c r="AP53" s="104">
        <v>6.6000000000000003E-2</v>
      </c>
      <c r="AQ53" s="104">
        <v>6.5000000000000002E-2</v>
      </c>
      <c r="AR53" s="104">
        <v>201</v>
      </c>
      <c r="AS53" s="104">
        <v>215</v>
      </c>
      <c r="AT53" s="104">
        <v>200</v>
      </c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  <c r="HA53" s="104"/>
      <c r="HB53" s="104"/>
      <c r="HC53" s="104"/>
      <c r="HD53" s="104"/>
      <c r="HE53" s="104"/>
      <c r="HF53" s="104"/>
      <c r="HG53" s="104"/>
      <c r="HH53" s="104"/>
      <c r="HI53" s="104"/>
      <c r="HJ53" s="104"/>
      <c r="HK53" s="104"/>
      <c r="HL53" s="104"/>
      <c r="HM53" s="104"/>
      <c r="HN53" s="104"/>
      <c r="HO53" s="104"/>
      <c r="HP53" s="104"/>
      <c r="HQ53" s="104"/>
      <c r="HR53" s="104"/>
      <c r="HS53" s="104"/>
      <c r="HT53" s="104"/>
      <c r="HU53" s="104"/>
      <c r="HV53" s="104"/>
      <c r="HW53" s="104"/>
      <c r="HX53" s="104"/>
      <c r="HY53" s="104"/>
      <c r="HZ53" s="104"/>
      <c r="IA53" s="104"/>
      <c r="IB53" s="104"/>
      <c r="IC53" s="104"/>
      <c r="ID53" s="104"/>
      <c r="IE53" s="104"/>
      <c r="IF53" s="104"/>
      <c r="IG53" s="104"/>
      <c r="IH53" s="104"/>
      <c r="II53" s="104"/>
      <c r="IJ53" s="104"/>
      <c r="IK53" s="104"/>
      <c r="IL53" s="104"/>
      <c r="IM53" s="104"/>
      <c r="IN53" s="104"/>
      <c r="IO53" s="104"/>
      <c r="IP53" s="104"/>
      <c r="IQ53" s="104"/>
      <c r="IR53" s="104"/>
      <c r="IS53" s="104"/>
      <c r="IT53" s="104"/>
      <c r="IU53" s="104"/>
      <c r="IV53" s="104"/>
      <c r="IW53" s="104"/>
      <c r="IX53" s="104"/>
      <c r="IY53" s="104"/>
      <c r="IZ53" s="104"/>
      <c r="JA53" s="104"/>
    </row>
    <row r="54" spans="1:261" x14ac:dyDescent="0.2">
      <c r="A54" s="104"/>
      <c r="B54" s="104"/>
      <c r="C54" s="104"/>
      <c r="D54" s="104"/>
      <c r="E54" s="104"/>
      <c r="F54" s="104"/>
      <c r="G54" s="104"/>
      <c r="H54" s="104"/>
      <c r="I54" s="104"/>
      <c r="J54" s="151"/>
      <c r="K54" s="104"/>
      <c r="L54" s="104"/>
      <c r="M54" s="104"/>
      <c r="N54" s="151"/>
      <c r="O54" s="104"/>
      <c r="P54" s="104"/>
      <c r="Q54" s="104"/>
      <c r="R54" s="104"/>
      <c r="S54" s="104"/>
      <c r="T54" s="104"/>
      <c r="U54" s="194" t="s">
        <v>332</v>
      </c>
      <c r="V54" s="194" t="s">
        <v>332</v>
      </c>
      <c r="W54" s="194" t="s">
        <v>332</v>
      </c>
      <c r="X54" s="195">
        <v>12.5</v>
      </c>
      <c r="Y54" s="183">
        <v>4.92</v>
      </c>
      <c r="Z54" s="104" t="s">
        <v>232</v>
      </c>
      <c r="AA54" s="104">
        <v>7.5200000000000003E-2</v>
      </c>
      <c r="AB54" s="104">
        <v>7.4499999999999997E-2</v>
      </c>
      <c r="AC54" s="104">
        <v>7.3999999999999996E-2</v>
      </c>
      <c r="AD54" s="104">
        <v>202</v>
      </c>
      <c r="AE54" s="104">
        <v>201</v>
      </c>
      <c r="AF54" s="104">
        <v>201</v>
      </c>
      <c r="AG54" s="104" t="s">
        <v>258</v>
      </c>
      <c r="AH54" s="104"/>
      <c r="AI54" s="104">
        <v>15</v>
      </c>
      <c r="AJ54" s="194" t="s">
        <v>259</v>
      </c>
      <c r="AK54" s="194" t="s">
        <v>332</v>
      </c>
      <c r="AL54" s="195">
        <v>10.87</v>
      </c>
      <c r="AM54" s="183">
        <v>4.92</v>
      </c>
      <c r="AN54" s="104" t="s">
        <v>232</v>
      </c>
      <c r="AO54" s="104">
        <v>8.1000000000000003E-2</v>
      </c>
      <c r="AP54" s="104">
        <v>8.2600000000000007E-2</v>
      </c>
      <c r="AQ54" s="104">
        <v>0.08</v>
      </c>
      <c r="AR54" s="104">
        <v>237</v>
      </c>
      <c r="AS54" s="104">
        <v>253</v>
      </c>
      <c r="AT54" s="104">
        <v>235</v>
      </c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  <c r="IW54" s="104"/>
      <c r="IX54" s="104"/>
      <c r="IY54" s="104"/>
      <c r="IZ54" s="104"/>
      <c r="JA54" s="104"/>
    </row>
    <row r="55" spans="1:261" x14ac:dyDescent="0.2">
      <c r="A55" s="104"/>
      <c r="B55" s="104"/>
      <c r="C55" s="104"/>
      <c r="D55" s="104"/>
      <c r="E55" s="104"/>
      <c r="F55" s="104"/>
      <c r="G55" s="104"/>
      <c r="H55" s="104"/>
      <c r="I55" s="104"/>
      <c r="J55" s="151"/>
      <c r="K55" s="104"/>
      <c r="L55" s="104"/>
      <c r="M55" s="104"/>
      <c r="N55" s="151"/>
      <c r="O55" s="104"/>
      <c r="P55" s="104"/>
      <c r="Q55" s="104"/>
      <c r="R55" s="104"/>
      <c r="S55" s="104"/>
      <c r="T55" s="104"/>
      <c r="U55" s="194" t="s">
        <v>333</v>
      </c>
      <c r="V55" s="194" t="s">
        <v>333</v>
      </c>
      <c r="W55" s="194" t="s">
        <v>333</v>
      </c>
      <c r="X55" s="195">
        <f>1.2+12.5</f>
        <v>13.7</v>
      </c>
      <c r="Y55" s="183">
        <v>4.92</v>
      </c>
      <c r="Z55" s="104" t="s">
        <v>232</v>
      </c>
      <c r="AA55" s="104">
        <v>9.7000000000000003E-2</v>
      </c>
      <c r="AB55" s="104">
        <v>9.7500000000000003E-2</v>
      </c>
      <c r="AC55" s="104">
        <v>9.5200000000000007E-2</v>
      </c>
      <c r="AD55" s="104">
        <v>258</v>
      </c>
      <c r="AE55" s="104">
        <v>271</v>
      </c>
      <c r="AF55" s="104">
        <v>257</v>
      </c>
      <c r="AG55" s="104" t="s">
        <v>258</v>
      </c>
      <c r="AH55" s="104"/>
      <c r="AI55" s="104">
        <v>20</v>
      </c>
      <c r="AJ55" s="194" t="s">
        <v>260</v>
      </c>
      <c r="AK55" s="194" t="s">
        <v>333</v>
      </c>
      <c r="AL55" s="195">
        <v>11.91</v>
      </c>
      <c r="AM55" s="183">
        <v>4.92</v>
      </c>
      <c r="AN55" s="104" t="s">
        <v>232</v>
      </c>
      <c r="AO55" s="104">
        <v>9.7000000000000003E-2</v>
      </c>
      <c r="AP55" s="104">
        <v>9.7500000000000003E-2</v>
      </c>
      <c r="AQ55" s="104">
        <v>9.5200000000000007E-2</v>
      </c>
      <c r="AR55" s="104">
        <v>258</v>
      </c>
      <c r="AS55" s="104">
        <v>271</v>
      </c>
      <c r="AT55" s="104">
        <v>257</v>
      </c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4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  <c r="HO55" s="104"/>
      <c r="HP55" s="104"/>
      <c r="HQ55" s="104"/>
      <c r="HR55" s="104"/>
      <c r="HS55" s="104"/>
      <c r="HT55" s="104"/>
      <c r="HU55" s="104"/>
      <c r="HV55" s="104"/>
      <c r="HW55" s="104"/>
      <c r="HX55" s="104"/>
      <c r="HY55" s="104"/>
      <c r="HZ55" s="104"/>
      <c r="IA55" s="104"/>
      <c r="IB55" s="104"/>
      <c r="IC55" s="104"/>
      <c r="ID55" s="104"/>
      <c r="IE55" s="104"/>
      <c r="IF55" s="104"/>
      <c r="IG55" s="104"/>
      <c r="IH55" s="104"/>
      <c r="II55" s="104"/>
      <c r="IJ55" s="104"/>
      <c r="IK55" s="104"/>
      <c r="IL55" s="104"/>
      <c r="IM55" s="104"/>
      <c r="IN55" s="104"/>
      <c r="IO55" s="104"/>
      <c r="IP55" s="104"/>
      <c r="IQ55" s="104"/>
      <c r="IR55" s="104"/>
      <c r="IS55" s="104"/>
      <c r="IT55" s="104"/>
      <c r="IU55" s="104"/>
      <c r="IV55" s="104"/>
      <c r="IW55" s="104"/>
      <c r="IX55" s="104"/>
      <c r="IY55" s="104"/>
      <c r="IZ55" s="104"/>
      <c r="JA55" s="104"/>
    </row>
    <row r="56" spans="1:261" x14ac:dyDescent="0.2">
      <c r="A56" s="104"/>
      <c r="B56" s="104"/>
      <c r="C56" s="104"/>
      <c r="D56" s="104"/>
      <c r="E56" s="104"/>
      <c r="F56" s="104"/>
      <c r="G56" s="104"/>
      <c r="H56" s="104"/>
      <c r="I56" s="104"/>
      <c r="J56" s="151"/>
      <c r="K56" s="104"/>
      <c r="L56" s="104"/>
      <c r="M56" s="104"/>
      <c r="N56" s="151"/>
      <c r="O56" s="104"/>
      <c r="P56" s="104"/>
      <c r="Q56" s="104"/>
      <c r="R56" s="104"/>
      <c r="S56" s="104"/>
      <c r="T56" s="104"/>
      <c r="U56" s="194" t="s">
        <v>334</v>
      </c>
      <c r="V56" s="194" t="s">
        <v>334</v>
      </c>
      <c r="W56" s="194" t="s">
        <v>334</v>
      </c>
      <c r="X56" s="195">
        <v>9.4700000000000006</v>
      </c>
      <c r="Y56" s="183">
        <v>4.01</v>
      </c>
      <c r="Z56" s="104" t="s">
        <v>232</v>
      </c>
      <c r="AA56" s="104">
        <v>6.2199999999999998E-2</v>
      </c>
      <c r="AB56" s="104">
        <v>6.0999999999999999E-2</v>
      </c>
      <c r="AC56" s="104">
        <v>6.0999999999999999E-2</v>
      </c>
      <c r="AD56" s="104">
        <v>172</v>
      </c>
      <c r="AE56" s="104">
        <v>180</v>
      </c>
      <c r="AF56" s="104">
        <v>171</v>
      </c>
      <c r="AG56" s="104" t="s">
        <v>261</v>
      </c>
      <c r="AH56" s="104"/>
      <c r="AI56" s="104">
        <v>12</v>
      </c>
      <c r="AJ56" s="194" t="s">
        <v>262</v>
      </c>
      <c r="AK56" s="194" t="s">
        <v>334</v>
      </c>
      <c r="AL56" s="195">
        <v>8.23</v>
      </c>
      <c r="AM56" s="183">
        <v>4.01</v>
      </c>
      <c r="AN56" s="104" t="s">
        <v>232</v>
      </c>
      <c r="AO56" s="104">
        <v>6.6000000000000003E-2</v>
      </c>
      <c r="AP56" s="104">
        <v>6.6000000000000003E-2</v>
      </c>
      <c r="AQ56" s="104">
        <v>6.5000000000000002E-2</v>
      </c>
      <c r="AR56" s="104">
        <v>201</v>
      </c>
      <c r="AS56" s="104">
        <v>215</v>
      </c>
      <c r="AT56" s="104">
        <v>200</v>
      </c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  <c r="IW56" s="104"/>
      <c r="IX56" s="104"/>
      <c r="IY56" s="104"/>
      <c r="IZ56" s="104"/>
      <c r="JA56" s="104"/>
    </row>
    <row r="57" spans="1:261" x14ac:dyDescent="0.2">
      <c r="A57" s="104"/>
      <c r="B57" s="104"/>
      <c r="C57" s="104"/>
      <c r="D57" s="104"/>
      <c r="E57" s="104"/>
      <c r="F57" s="104"/>
      <c r="G57" s="104"/>
      <c r="H57" s="104"/>
      <c r="I57" s="104"/>
      <c r="J57" s="151"/>
      <c r="K57" s="104"/>
      <c r="L57" s="104"/>
      <c r="M57" s="104"/>
      <c r="N57" s="151"/>
      <c r="O57" s="104"/>
      <c r="P57" s="104"/>
      <c r="Q57" s="104"/>
      <c r="R57" s="104"/>
      <c r="S57" s="104"/>
      <c r="T57" s="104"/>
      <c r="U57" s="194" t="s">
        <v>335</v>
      </c>
      <c r="V57" s="194" t="s">
        <v>335</v>
      </c>
      <c r="W57" s="194" t="s">
        <v>335</v>
      </c>
      <c r="X57" s="195">
        <v>9.4700000000000006</v>
      </c>
      <c r="Y57" s="183">
        <v>4.01</v>
      </c>
      <c r="Z57" s="104" t="s">
        <v>232</v>
      </c>
      <c r="AA57" s="104">
        <v>7.5200000000000003E-2</v>
      </c>
      <c r="AB57" s="104">
        <v>7.4499999999999997E-2</v>
      </c>
      <c r="AC57" s="104">
        <v>7.3999999999999996E-2</v>
      </c>
      <c r="AD57" s="104">
        <v>202</v>
      </c>
      <c r="AE57" s="104">
        <v>201</v>
      </c>
      <c r="AF57" s="104">
        <v>201</v>
      </c>
      <c r="AG57" s="104" t="s">
        <v>261</v>
      </c>
      <c r="AH57" s="104"/>
      <c r="AI57" s="104">
        <v>15</v>
      </c>
      <c r="AJ57" s="194" t="s">
        <v>263</v>
      </c>
      <c r="AK57" s="194" t="s">
        <v>335</v>
      </c>
      <c r="AL57" s="195">
        <v>8.23</v>
      </c>
      <c r="AM57" s="183">
        <v>4.01</v>
      </c>
      <c r="AN57" s="104" t="s">
        <v>232</v>
      </c>
      <c r="AO57" s="104">
        <v>8.1000000000000003E-2</v>
      </c>
      <c r="AP57" s="104">
        <v>8.2600000000000007E-2</v>
      </c>
      <c r="AQ57" s="104">
        <v>0.08</v>
      </c>
      <c r="AR57" s="104">
        <v>237</v>
      </c>
      <c r="AS57" s="104">
        <v>253</v>
      </c>
      <c r="AT57" s="104">
        <v>235</v>
      </c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  <c r="HA57" s="104"/>
      <c r="HB57" s="104"/>
      <c r="HC57" s="104"/>
      <c r="HD57" s="104"/>
      <c r="HE57" s="104"/>
      <c r="HF57" s="104"/>
      <c r="HG57" s="104"/>
      <c r="HH57" s="104"/>
      <c r="HI57" s="104"/>
      <c r="HJ57" s="104"/>
      <c r="HK57" s="104"/>
      <c r="HL57" s="104"/>
      <c r="HM57" s="104"/>
      <c r="HN57" s="104"/>
      <c r="HO57" s="104"/>
      <c r="HP57" s="104"/>
      <c r="HQ57" s="104"/>
      <c r="HR57" s="104"/>
      <c r="HS57" s="104"/>
      <c r="HT57" s="104"/>
      <c r="HU57" s="104"/>
      <c r="HV57" s="104"/>
      <c r="HW57" s="104"/>
      <c r="HX57" s="104"/>
      <c r="HY57" s="104"/>
      <c r="HZ57" s="104"/>
      <c r="IA57" s="104"/>
      <c r="IB57" s="104"/>
      <c r="IC57" s="104"/>
      <c r="ID57" s="104"/>
      <c r="IE57" s="104"/>
      <c r="IF57" s="104"/>
      <c r="IG57" s="104"/>
      <c r="IH57" s="104"/>
      <c r="II57" s="104"/>
      <c r="IJ57" s="104"/>
      <c r="IK57" s="104"/>
      <c r="IL57" s="104"/>
      <c r="IM57" s="104"/>
      <c r="IN57" s="104"/>
      <c r="IO57" s="104"/>
      <c r="IP57" s="104"/>
      <c r="IQ57" s="104"/>
      <c r="IR57" s="104"/>
      <c r="IS57" s="104"/>
      <c r="IT57" s="104"/>
      <c r="IU57" s="104"/>
      <c r="IV57" s="104"/>
      <c r="IW57" s="104"/>
      <c r="IX57" s="104"/>
      <c r="IY57" s="104"/>
      <c r="IZ57" s="104"/>
      <c r="JA57" s="104"/>
    </row>
    <row r="58" spans="1:261" x14ac:dyDescent="0.2">
      <c r="A58" s="104"/>
      <c r="B58" s="104"/>
      <c r="C58" s="104"/>
      <c r="D58" s="104"/>
      <c r="E58" s="104"/>
      <c r="F58" s="104"/>
      <c r="G58" s="104"/>
      <c r="H58" s="104"/>
      <c r="I58" s="104"/>
      <c r="J58" s="151"/>
      <c r="K58" s="104"/>
      <c r="L58" s="104"/>
      <c r="M58" s="104"/>
      <c r="N58" s="151"/>
      <c r="O58" s="104"/>
      <c r="P58" s="104"/>
      <c r="Q58" s="104"/>
      <c r="R58" s="104"/>
      <c r="S58" s="104"/>
      <c r="T58" s="104"/>
      <c r="U58" s="194" t="s">
        <v>336</v>
      </c>
      <c r="V58" s="194" t="s">
        <v>336</v>
      </c>
      <c r="W58" s="194" t="s">
        <v>336</v>
      </c>
      <c r="X58" s="195">
        <f>1.2+9.47</f>
        <v>10.67</v>
      </c>
      <c r="Y58" s="183">
        <v>4.01</v>
      </c>
      <c r="Z58" s="104" t="s">
        <v>232</v>
      </c>
      <c r="AA58" s="104">
        <v>9.7000000000000003E-2</v>
      </c>
      <c r="AB58" s="104">
        <v>9.7500000000000003E-2</v>
      </c>
      <c r="AC58" s="104">
        <v>9.5200000000000007E-2</v>
      </c>
      <c r="AD58" s="104">
        <v>258</v>
      </c>
      <c r="AE58" s="104">
        <v>271</v>
      </c>
      <c r="AF58" s="104">
        <v>257</v>
      </c>
      <c r="AG58" s="104" t="s">
        <v>261</v>
      </c>
      <c r="AH58" s="104"/>
      <c r="AI58" s="104">
        <v>20</v>
      </c>
      <c r="AJ58" s="194" t="s">
        <v>262</v>
      </c>
      <c r="AK58" s="194" t="s">
        <v>336</v>
      </c>
      <c r="AL58" s="195">
        <v>9.2799999999999994</v>
      </c>
      <c r="AM58" s="183">
        <v>4.01</v>
      </c>
      <c r="AN58" s="104" t="s">
        <v>232</v>
      </c>
      <c r="AO58" s="104">
        <v>9.7000000000000003E-2</v>
      </c>
      <c r="AP58" s="104">
        <v>9.7500000000000003E-2</v>
      </c>
      <c r="AQ58" s="104">
        <v>9.5200000000000007E-2</v>
      </c>
      <c r="AR58" s="104">
        <v>258</v>
      </c>
      <c r="AS58" s="104">
        <v>271</v>
      </c>
      <c r="AT58" s="104">
        <v>257</v>
      </c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  <c r="HO58" s="104"/>
      <c r="HP58" s="104"/>
      <c r="HQ58" s="104"/>
      <c r="HR58" s="104"/>
      <c r="HS58" s="104"/>
      <c r="HT58" s="104"/>
      <c r="HU58" s="104"/>
      <c r="HV58" s="104"/>
      <c r="HW58" s="104"/>
      <c r="HX58" s="104"/>
      <c r="HY58" s="104"/>
      <c r="HZ58" s="104"/>
      <c r="IA58" s="104"/>
      <c r="IB58" s="104"/>
      <c r="IC58" s="104"/>
      <c r="ID58" s="104"/>
      <c r="IE58" s="104"/>
      <c r="IF58" s="104"/>
      <c r="IG58" s="104"/>
      <c r="IH58" s="104"/>
      <c r="II58" s="104"/>
      <c r="IJ58" s="104"/>
      <c r="IK58" s="104"/>
      <c r="IL58" s="104"/>
      <c r="IM58" s="104"/>
      <c r="IN58" s="104"/>
      <c r="IO58" s="104"/>
      <c r="IP58" s="104"/>
      <c r="IQ58" s="104"/>
      <c r="IR58" s="104"/>
      <c r="IS58" s="104"/>
      <c r="IT58" s="104"/>
      <c r="IU58" s="104"/>
      <c r="IV58" s="104"/>
      <c r="IW58" s="104"/>
      <c r="IX58" s="104"/>
      <c r="IY58" s="104"/>
      <c r="IZ58" s="104"/>
      <c r="JA58" s="104"/>
    </row>
    <row r="59" spans="1:261" x14ac:dyDescent="0.2">
      <c r="A59" s="104"/>
      <c r="B59" s="104"/>
      <c r="C59" s="104"/>
      <c r="D59" s="104"/>
      <c r="E59" s="104"/>
      <c r="F59" s="104"/>
      <c r="G59" s="104"/>
      <c r="H59" s="104"/>
      <c r="I59" s="104"/>
      <c r="J59" s="151"/>
      <c r="K59" s="104"/>
      <c r="L59" s="104"/>
      <c r="M59" s="104"/>
      <c r="N59" s="151"/>
      <c r="O59" s="104"/>
      <c r="P59" s="104"/>
      <c r="Q59" s="104"/>
      <c r="R59" s="104"/>
      <c r="S59" s="104"/>
      <c r="T59" s="104"/>
      <c r="U59" s="194" t="s">
        <v>337</v>
      </c>
      <c r="V59" s="194" t="s">
        <v>337</v>
      </c>
      <c r="W59" s="194" t="s">
        <v>337</v>
      </c>
      <c r="X59" s="195">
        <v>9.4700000000000006</v>
      </c>
      <c r="Y59" s="183">
        <v>3.36</v>
      </c>
      <c r="Z59" s="104" t="s">
        <v>232</v>
      </c>
      <c r="AA59" s="104">
        <v>6.2199999999999998E-2</v>
      </c>
      <c r="AB59" s="104">
        <v>6.0999999999999999E-2</v>
      </c>
      <c r="AC59" s="104">
        <v>6.0999999999999999E-2</v>
      </c>
      <c r="AD59" s="104">
        <v>172</v>
      </c>
      <c r="AE59" s="104">
        <v>180</v>
      </c>
      <c r="AF59" s="104">
        <v>171</v>
      </c>
      <c r="AG59" s="104" t="s">
        <v>264</v>
      </c>
      <c r="AH59" s="104"/>
      <c r="AI59" s="104">
        <v>12</v>
      </c>
      <c r="AJ59" s="194" t="s">
        <v>265</v>
      </c>
      <c r="AK59" s="194" t="s">
        <v>337</v>
      </c>
      <c r="AL59" s="195">
        <v>8.23</v>
      </c>
      <c r="AM59" s="183">
        <v>3.36</v>
      </c>
      <c r="AN59" s="104" t="s">
        <v>232</v>
      </c>
      <c r="AO59" s="104">
        <v>6.6000000000000003E-2</v>
      </c>
      <c r="AP59" s="104">
        <v>6.6000000000000003E-2</v>
      </c>
      <c r="AQ59" s="104">
        <v>6.5000000000000002E-2</v>
      </c>
      <c r="AR59" s="104">
        <v>201</v>
      </c>
      <c r="AS59" s="104">
        <v>215</v>
      </c>
      <c r="AT59" s="104">
        <v>200</v>
      </c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  <c r="IW59" s="104"/>
      <c r="IX59" s="104"/>
      <c r="IY59" s="104"/>
      <c r="IZ59" s="104"/>
      <c r="JA59" s="104"/>
    </row>
    <row r="60" spans="1:261" x14ac:dyDescent="0.2">
      <c r="A60" s="104"/>
      <c r="B60" s="104"/>
      <c r="C60" s="104"/>
      <c r="D60" s="104"/>
      <c r="E60" s="104"/>
      <c r="F60" s="104"/>
      <c r="G60" s="104"/>
      <c r="H60" s="104"/>
      <c r="I60" s="104"/>
      <c r="J60" s="151"/>
      <c r="K60" s="104"/>
      <c r="L60" s="104"/>
      <c r="M60" s="104"/>
      <c r="N60" s="151"/>
      <c r="O60" s="104"/>
      <c r="P60" s="104"/>
      <c r="Q60" s="104"/>
      <c r="R60" s="104"/>
      <c r="S60" s="104"/>
      <c r="T60" s="104"/>
      <c r="U60" s="194" t="s">
        <v>338</v>
      </c>
      <c r="V60" s="194" t="s">
        <v>338</v>
      </c>
      <c r="W60" s="194" t="s">
        <v>338</v>
      </c>
      <c r="X60" s="195">
        <v>9.4700000000000006</v>
      </c>
      <c r="Y60" s="183">
        <v>3.36</v>
      </c>
      <c r="Z60" s="104" t="s">
        <v>232</v>
      </c>
      <c r="AA60" s="104">
        <v>7.5200000000000003E-2</v>
      </c>
      <c r="AB60" s="104">
        <v>7.4499999999999997E-2</v>
      </c>
      <c r="AC60" s="104">
        <v>7.3999999999999996E-2</v>
      </c>
      <c r="AD60" s="104">
        <v>202</v>
      </c>
      <c r="AE60" s="104">
        <v>201</v>
      </c>
      <c r="AF60" s="104">
        <v>201</v>
      </c>
      <c r="AG60" s="104" t="s">
        <v>264</v>
      </c>
      <c r="AH60" s="104"/>
      <c r="AI60" s="104">
        <v>15</v>
      </c>
      <c r="AJ60" s="194" t="s">
        <v>265</v>
      </c>
      <c r="AK60" s="194" t="s">
        <v>338</v>
      </c>
      <c r="AL60" s="195">
        <v>8.23</v>
      </c>
      <c r="AM60" s="183">
        <v>3.36</v>
      </c>
      <c r="AN60" s="104" t="s">
        <v>232</v>
      </c>
      <c r="AO60" s="104">
        <v>8.1000000000000003E-2</v>
      </c>
      <c r="AP60" s="104">
        <v>8.2600000000000007E-2</v>
      </c>
      <c r="AQ60" s="104">
        <v>0.08</v>
      </c>
      <c r="AR60" s="104">
        <v>237</v>
      </c>
      <c r="AS60" s="104">
        <v>253</v>
      </c>
      <c r="AT60" s="104">
        <v>235</v>
      </c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  <c r="IW60" s="104"/>
      <c r="IX60" s="104"/>
      <c r="IY60" s="104"/>
      <c r="IZ60" s="104"/>
      <c r="JA60" s="104"/>
    </row>
    <row r="61" spans="1:261" x14ac:dyDescent="0.2">
      <c r="A61" s="104"/>
      <c r="B61" s="104"/>
      <c r="C61" s="104"/>
      <c r="D61" s="104"/>
      <c r="E61" s="104"/>
      <c r="F61" s="104"/>
      <c r="G61" s="104"/>
      <c r="H61" s="104"/>
      <c r="I61" s="104"/>
      <c r="J61" s="151"/>
      <c r="K61" s="104"/>
      <c r="L61" s="104"/>
      <c r="M61" s="104"/>
      <c r="N61" s="151"/>
      <c r="O61" s="104"/>
      <c r="P61" s="104"/>
      <c r="Q61" s="104"/>
      <c r="R61" s="104"/>
      <c r="S61" s="104"/>
      <c r="T61" s="104"/>
      <c r="U61" s="194" t="s">
        <v>339</v>
      </c>
      <c r="V61" s="194" t="s">
        <v>339</v>
      </c>
      <c r="W61" s="194" t="s">
        <v>339</v>
      </c>
      <c r="X61" s="195">
        <v>10.67</v>
      </c>
      <c r="Y61" s="183">
        <v>3.36</v>
      </c>
      <c r="Z61" s="104" t="s">
        <v>232</v>
      </c>
      <c r="AA61" s="104">
        <v>9.7000000000000003E-2</v>
      </c>
      <c r="AB61" s="104">
        <v>9.7500000000000003E-2</v>
      </c>
      <c r="AC61" s="104">
        <v>9.5200000000000007E-2</v>
      </c>
      <c r="AD61" s="104">
        <v>258</v>
      </c>
      <c r="AE61" s="104">
        <v>271</v>
      </c>
      <c r="AF61" s="104">
        <v>257</v>
      </c>
      <c r="AG61" s="104" t="s">
        <v>264</v>
      </c>
      <c r="AH61" s="104"/>
      <c r="AI61" s="104">
        <v>20</v>
      </c>
      <c r="AJ61" s="194" t="s">
        <v>265</v>
      </c>
      <c r="AK61" s="194" t="s">
        <v>339</v>
      </c>
      <c r="AL61" s="195">
        <v>9.2799999999999994</v>
      </c>
      <c r="AM61" s="183">
        <v>3.36</v>
      </c>
      <c r="AN61" s="104" t="s">
        <v>232</v>
      </c>
      <c r="AO61" s="104">
        <v>9.7000000000000003E-2</v>
      </c>
      <c r="AP61" s="104">
        <v>9.7500000000000003E-2</v>
      </c>
      <c r="AQ61" s="104">
        <v>9.5200000000000007E-2</v>
      </c>
      <c r="AR61" s="104">
        <v>258</v>
      </c>
      <c r="AS61" s="104">
        <v>271</v>
      </c>
      <c r="AT61" s="104">
        <v>257</v>
      </c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  <c r="HW61" s="104"/>
      <c r="HX61" s="104"/>
      <c r="HY61" s="104"/>
      <c r="HZ61" s="104"/>
      <c r="IA61" s="104"/>
      <c r="IB61" s="104"/>
      <c r="IC61" s="104"/>
      <c r="ID61" s="104"/>
      <c r="IE61" s="104"/>
      <c r="IF61" s="104"/>
      <c r="IG61" s="104"/>
      <c r="IH61" s="104"/>
      <c r="II61" s="104"/>
      <c r="IJ61" s="104"/>
      <c r="IK61" s="104"/>
      <c r="IL61" s="104"/>
      <c r="IM61" s="104"/>
      <c r="IN61" s="104"/>
      <c r="IO61" s="104"/>
      <c r="IP61" s="104"/>
      <c r="IQ61" s="104"/>
      <c r="IR61" s="104"/>
      <c r="IS61" s="104"/>
      <c r="IT61" s="104"/>
      <c r="IU61" s="104"/>
      <c r="IV61" s="104"/>
      <c r="IW61" s="104"/>
      <c r="IX61" s="104"/>
      <c r="IY61" s="104"/>
      <c r="IZ61" s="104"/>
      <c r="JA61" s="104"/>
    </row>
    <row r="62" spans="1:261" x14ac:dyDescent="0.2">
      <c r="A62" s="104"/>
      <c r="B62" s="104"/>
      <c r="C62" s="104"/>
      <c r="D62" s="104"/>
      <c r="E62" s="104"/>
      <c r="F62" s="104"/>
      <c r="G62" s="104"/>
      <c r="H62" s="104"/>
      <c r="I62" s="104"/>
      <c r="J62" s="151"/>
      <c r="K62" s="104"/>
      <c r="L62" s="104"/>
      <c r="M62" s="104"/>
      <c r="N62" s="151"/>
      <c r="O62" s="104"/>
      <c r="P62" s="104"/>
      <c r="Q62" s="104"/>
      <c r="R62" s="104"/>
      <c r="S62" s="104"/>
      <c r="T62" s="104"/>
      <c r="U62" s="194" t="s">
        <v>340</v>
      </c>
      <c r="V62" s="194" t="s">
        <v>340</v>
      </c>
      <c r="W62" s="194" t="s">
        <v>340</v>
      </c>
      <c r="X62" s="195">
        <v>9.4700000000000006</v>
      </c>
      <c r="Y62" s="157">
        <v>2.96</v>
      </c>
      <c r="Z62" s="104" t="s">
        <v>232</v>
      </c>
      <c r="AA62" s="104">
        <v>6.2199999999999998E-2</v>
      </c>
      <c r="AB62" s="104">
        <v>6.0999999999999999E-2</v>
      </c>
      <c r="AC62" s="104">
        <v>6.0999999999999999E-2</v>
      </c>
      <c r="AD62" s="104">
        <v>172</v>
      </c>
      <c r="AE62" s="104">
        <v>180</v>
      </c>
      <c r="AF62" s="104">
        <v>171</v>
      </c>
      <c r="AG62" s="104" t="s">
        <v>264</v>
      </c>
      <c r="AH62" s="104"/>
      <c r="AI62" s="104">
        <v>12</v>
      </c>
      <c r="AJ62" s="194" t="s">
        <v>266</v>
      </c>
      <c r="AK62" s="194" t="s">
        <v>340</v>
      </c>
      <c r="AL62" s="195">
        <v>8.23</v>
      </c>
      <c r="AM62" s="157">
        <v>2.96</v>
      </c>
      <c r="AN62" s="104" t="s">
        <v>232</v>
      </c>
      <c r="AO62" s="104">
        <v>6.6000000000000003E-2</v>
      </c>
      <c r="AP62" s="104">
        <v>6.6000000000000003E-2</v>
      </c>
      <c r="AQ62" s="104">
        <v>6.5000000000000002E-2</v>
      </c>
      <c r="AR62" s="104">
        <v>201</v>
      </c>
      <c r="AS62" s="104">
        <v>215</v>
      </c>
      <c r="AT62" s="104">
        <v>200</v>
      </c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4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  <c r="HO62" s="104"/>
      <c r="HP62" s="104"/>
      <c r="HQ62" s="104"/>
      <c r="HR62" s="104"/>
      <c r="HS62" s="104"/>
      <c r="HT62" s="104"/>
      <c r="HU62" s="104"/>
      <c r="HV62" s="104"/>
      <c r="HW62" s="104"/>
      <c r="HX62" s="104"/>
      <c r="HY62" s="104"/>
      <c r="HZ62" s="104"/>
      <c r="IA62" s="104"/>
      <c r="IB62" s="104"/>
      <c r="IC62" s="104"/>
      <c r="ID62" s="104"/>
      <c r="IE62" s="104"/>
      <c r="IF62" s="104"/>
      <c r="IG62" s="104"/>
      <c r="IH62" s="104"/>
      <c r="II62" s="104"/>
      <c r="IJ62" s="104"/>
      <c r="IK62" s="104"/>
      <c r="IL62" s="104"/>
      <c r="IM62" s="104"/>
      <c r="IN62" s="104"/>
      <c r="IO62" s="104"/>
      <c r="IP62" s="104"/>
      <c r="IQ62" s="104"/>
      <c r="IR62" s="104"/>
      <c r="IS62" s="104"/>
      <c r="IT62" s="104"/>
      <c r="IU62" s="104"/>
      <c r="IV62" s="104"/>
      <c r="IW62" s="104"/>
      <c r="IX62" s="104"/>
      <c r="IY62" s="104"/>
      <c r="IZ62" s="104"/>
      <c r="JA62" s="104"/>
    </row>
    <row r="63" spans="1:261" x14ac:dyDescent="0.2">
      <c r="A63" s="104"/>
      <c r="B63" s="104"/>
      <c r="C63" s="104"/>
      <c r="D63" s="104"/>
      <c r="E63" s="104"/>
      <c r="F63" s="104"/>
      <c r="G63" s="104"/>
      <c r="H63" s="104"/>
      <c r="I63" s="104"/>
      <c r="J63" s="151"/>
      <c r="K63" s="104"/>
      <c r="L63" s="104"/>
      <c r="M63" s="104"/>
      <c r="N63" s="151"/>
      <c r="O63" s="104"/>
      <c r="P63" s="104"/>
      <c r="Q63" s="104"/>
      <c r="R63" s="104"/>
      <c r="S63" s="104"/>
      <c r="T63" s="104"/>
      <c r="U63" s="194" t="s">
        <v>341</v>
      </c>
      <c r="V63" s="194" t="s">
        <v>341</v>
      </c>
      <c r="W63" s="194" t="s">
        <v>341</v>
      </c>
      <c r="X63" s="195">
        <v>9.4700000000000006</v>
      </c>
      <c r="Y63" s="157">
        <v>2.96</v>
      </c>
      <c r="Z63" s="104" t="s">
        <v>232</v>
      </c>
      <c r="AA63" s="104">
        <v>7.5200000000000003E-2</v>
      </c>
      <c r="AB63" s="104">
        <v>7.4499999999999997E-2</v>
      </c>
      <c r="AC63" s="104">
        <v>7.3999999999999996E-2</v>
      </c>
      <c r="AD63" s="104">
        <v>202</v>
      </c>
      <c r="AE63" s="104">
        <v>201</v>
      </c>
      <c r="AF63" s="104">
        <v>201</v>
      </c>
      <c r="AG63" s="104" t="s">
        <v>264</v>
      </c>
      <c r="AH63" s="104"/>
      <c r="AI63" s="104">
        <v>15</v>
      </c>
      <c r="AJ63" s="194" t="s">
        <v>267</v>
      </c>
      <c r="AK63" s="194" t="s">
        <v>341</v>
      </c>
      <c r="AL63" s="195">
        <v>8.23</v>
      </c>
      <c r="AM63" s="157">
        <v>2.96</v>
      </c>
      <c r="AN63" s="104" t="s">
        <v>232</v>
      </c>
      <c r="AO63" s="104">
        <v>8.1000000000000003E-2</v>
      </c>
      <c r="AP63" s="104">
        <v>8.2600000000000007E-2</v>
      </c>
      <c r="AQ63" s="104">
        <v>0.08</v>
      </c>
      <c r="AR63" s="104">
        <v>237</v>
      </c>
      <c r="AS63" s="104">
        <v>253</v>
      </c>
      <c r="AT63" s="104">
        <v>235</v>
      </c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104"/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04"/>
      <c r="EZ63" s="104"/>
      <c r="FA63" s="104"/>
      <c r="FB63" s="104"/>
      <c r="FC63" s="104"/>
      <c r="FD63" s="104"/>
      <c r="FE63" s="104"/>
      <c r="FF63" s="104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  <c r="HO63" s="104"/>
      <c r="HP63" s="104"/>
      <c r="HQ63" s="104"/>
      <c r="HR63" s="104"/>
      <c r="HS63" s="104"/>
      <c r="HT63" s="104"/>
      <c r="HU63" s="104"/>
      <c r="HV63" s="104"/>
      <c r="HW63" s="104"/>
      <c r="HX63" s="104"/>
      <c r="HY63" s="104"/>
      <c r="HZ63" s="104"/>
      <c r="IA63" s="104"/>
      <c r="IB63" s="104"/>
      <c r="IC63" s="104"/>
      <c r="ID63" s="104"/>
      <c r="IE63" s="104"/>
      <c r="IF63" s="104"/>
      <c r="IG63" s="104"/>
      <c r="IH63" s="104"/>
      <c r="II63" s="104"/>
      <c r="IJ63" s="104"/>
      <c r="IK63" s="104"/>
      <c r="IL63" s="104"/>
      <c r="IM63" s="104"/>
      <c r="IN63" s="104"/>
      <c r="IO63" s="104"/>
      <c r="IP63" s="104"/>
      <c r="IQ63" s="104"/>
      <c r="IR63" s="104"/>
      <c r="IS63" s="104"/>
      <c r="IT63" s="104"/>
      <c r="IU63" s="104"/>
      <c r="IV63" s="104"/>
      <c r="IW63" s="104"/>
      <c r="IX63" s="104"/>
      <c r="IY63" s="104"/>
      <c r="IZ63" s="104"/>
      <c r="JA63" s="104"/>
    </row>
    <row r="64" spans="1:261" x14ac:dyDescent="0.2">
      <c r="A64" s="104"/>
      <c r="B64" s="104"/>
      <c r="C64" s="104"/>
      <c r="D64" s="104"/>
      <c r="E64" s="104"/>
      <c r="F64" s="104"/>
      <c r="G64" s="104"/>
      <c r="H64" s="104"/>
      <c r="I64" s="104"/>
      <c r="J64" s="151"/>
      <c r="K64" s="104"/>
      <c r="L64" s="104"/>
      <c r="M64" s="104"/>
      <c r="N64" s="151"/>
      <c r="O64" s="104"/>
      <c r="P64" s="104"/>
      <c r="Q64" s="104"/>
      <c r="R64" s="104"/>
      <c r="S64" s="104"/>
      <c r="T64" s="104"/>
      <c r="U64" s="194" t="s">
        <v>342</v>
      </c>
      <c r="V64" s="194" t="s">
        <v>342</v>
      </c>
      <c r="W64" s="194" t="s">
        <v>342</v>
      </c>
      <c r="X64" s="195">
        <v>9.4700000000000006</v>
      </c>
      <c r="Y64" s="157">
        <v>2.96</v>
      </c>
      <c r="Z64" s="104" t="s">
        <v>232</v>
      </c>
      <c r="AA64" s="104">
        <v>6.2199999999999998E-2</v>
      </c>
      <c r="AB64" s="104">
        <v>6.0999999999999999E-2</v>
      </c>
      <c r="AC64" s="104">
        <v>6.0999999999999999E-2</v>
      </c>
      <c r="AD64" s="104">
        <v>172</v>
      </c>
      <c r="AE64" s="104">
        <v>180</v>
      </c>
      <c r="AF64" s="104">
        <v>171</v>
      </c>
      <c r="AG64" s="104" t="s">
        <v>264</v>
      </c>
      <c r="AH64" s="104"/>
      <c r="AI64" s="104">
        <v>12</v>
      </c>
      <c r="AJ64" s="194" t="s">
        <v>268</v>
      </c>
      <c r="AK64" s="194" t="s">
        <v>342</v>
      </c>
      <c r="AL64" s="195">
        <v>8.23</v>
      </c>
      <c r="AM64" s="157">
        <v>2.96</v>
      </c>
      <c r="AN64" s="104" t="s">
        <v>232</v>
      </c>
      <c r="AO64" s="104">
        <v>6.6000000000000003E-2</v>
      </c>
      <c r="AP64" s="104">
        <v>6.6000000000000003E-2</v>
      </c>
      <c r="AQ64" s="104">
        <v>6.5000000000000002E-2</v>
      </c>
      <c r="AR64" s="104">
        <v>201</v>
      </c>
      <c r="AS64" s="104">
        <v>215</v>
      </c>
      <c r="AT64" s="104">
        <v>200</v>
      </c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  <c r="HO64" s="104"/>
      <c r="HP64" s="104"/>
      <c r="HQ64" s="104"/>
      <c r="HR64" s="104"/>
      <c r="HS64" s="104"/>
      <c r="HT64" s="104"/>
      <c r="HU64" s="104"/>
      <c r="HV64" s="104"/>
      <c r="HW64" s="104"/>
      <c r="HX64" s="104"/>
      <c r="HY64" s="104"/>
      <c r="HZ64" s="104"/>
      <c r="IA64" s="104"/>
      <c r="IB64" s="104"/>
      <c r="IC64" s="104"/>
      <c r="ID64" s="104"/>
      <c r="IE64" s="104"/>
      <c r="IF64" s="104"/>
      <c r="IG64" s="104"/>
      <c r="IH64" s="104"/>
      <c r="II64" s="104"/>
      <c r="IJ64" s="104"/>
      <c r="IK64" s="104"/>
      <c r="IL64" s="104"/>
      <c r="IM64" s="104"/>
      <c r="IN64" s="104"/>
      <c r="IO64" s="104"/>
      <c r="IP64" s="104"/>
      <c r="IQ64" s="104"/>
      <c r="IR64" s="104"/>
      <c r="IS64" s="104"/>
      <c r="IT64" s="104"/>
      <c r="IU64" s="104"/>
      <c r="IV64" s="104"/>
      <c r="IW64" s="104"/>
      <c r="IX64" s="104"/>
      <c r="IY64" s="104"/>
      <c r="IZ64" s="104"/>
      <c r="JA64" s="104"/>
    </row>
    <row r="65" spans="1:261" ht="15" x14ac:dyDescent="0.25">
      <c r="A65" s="104"/>
      <c r="B65" s="104"/>
      <c r="C65" s="104"/>
      <c r="D65" s="104"/>
      <c r="E65" s="104"/>
      <c r="F65" s="104"/>
      <c r="G65" s="104"/>
      <c r="H65" s="104"/>
      <c r="I65" s="104"/>
      <c r="J65" s="151"/>
      <c r="K65" s="104"/>
      <c r="L65" s="104"/>
      <c r="M65" s="104"/>
      <c r="N65" s="151"/>
      <c r="O65" s="104"/>
      <c r="P65" s="104"/>
      <c r="Q65" s="104"/>
      <c r="R65" s="104"/>
      <c r="S65" s="104"/>
      <c r="T65" s="104"/>
      <c r="U65" s="196" t="s">
        <v>292</v>
      </c>
      <c r="V65" s="104" t="s">
        <v>348</v>
      </c>
      <c r="W65" s="196" t="s">
        <v>292</v>
      </c>
      <c r="X65" s="197">
        <v>4.74</v>
      </c>
      <c r="Y65" s="157">
        <v>0.6</v>
      </c>
      <c r="Z65" s="104" t="s">
        <v>232</v>
      </c>
      <c r="AA65" s="104">
        <v>6.2E-2</v>
      </c>
      <c r="AB65" s="104">
        <v>6.2E-2</v>
      </c>
      <c r="AC65" s="104">
        <v>6.2E-2</v>
      </c>
      <c r="AD65" s="104">
        <v>178</v>
      </c>
      <c r="AE65" s="104">
        <v>186</v>
      </c>
      <c r="AF65" s="104">
        <v>177</v>
      </c>
      <c r="AG65" s="104" t="s">
        <v>354</v>
      </c>
      <c r="AH65" s="104"/>
      <c r="AI65" s="104"/>
      <c r="AJ65" s="104"/>
      <c r="AK65" s="196" t="s">
        <v>292</v>
      </c>
      <c r="AL65" s="198">
        <v>4.12</v>
      </c>
      <c r="AM65" s="104"/>
      <c r="AN65" s="104" t="s">
        <v>232</v>
      </c>
      <c r="AO65" s="104">
        <v>6.6000000000000003E-2</v>
      </c>
      <c r="AP65" s="104">
        <v>6.6000000000000003E-2</v>
      </c>
      <c r="AQ65" s="104">
        <v>6.5000000000000002E-2</v>
      </c>
      <c r="AR65" s="104">
        <v>207</v>
      </c>
      <c r="AS65" s="104">
        <v>220</v>
      </c>
      <c r="AT65" s="104">
        <v>206</v>
      </c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  <c r="IW65" s="104"/>
      <c r="IX65" s="104"/>
      <c r="IY65" s="104"/>
      <c r="IZ65" s="104"/>
      <c r="JA65" s="104"/>
    </row>
    <row r="66" spans="1:261" ht="15" x14ac:dyDescent="0.25">
      <c r="A66" s="104"/>
      <c r="B66" s="104"/>
      <c r="C66" s="104"/>
      <c r="D66" s="104"/>
      <c r="E66" s="104"/>
      <c r="F66" s="104"/>
      <c r="G66" s="104"/>
      <c r="H66" s="104"/>
      <c r="I66" s="104"/>
      <c r="J66" s="151"/>
      <c r="K66" s="104"/>
      <c r="L66" s="104"/>
      <c r="M66" s="104"/>
      <c r="N66" s="151"/>
      <c r="O66" s="104"/>
      <c r="P66" s="104"/>
      <c r="Q66" s="104"/>
      <c r="R66" s="104"/>
      <c r="S66" s="104"/>
      <c r="T66" s="104"/>
      <c r="U66" s="196" t="s">
        <v>293</v>
      </c>
      <c r="V66" s="104" t="s">
        <v>349</v>
      </c>
      <c r="W66" s="196" t="s">
        <v>293</v>
      </c>
      <c r="X66" s="197">
        <v>4.74</v>
      </c>
      <c r="Y66" s="199">
        <v>0.75</v>
      </c>
      <c r="Z66" s="104" t="s">
        <v>232</v>
      </c>
      <c r="AA66" s="104">
        <v>7.4999999999999997E-2</v>
      </c>
      <c r="AB66" s="104">
        <v>7.5999999999999998E-2</v>
      </c>
      <c r="AC66" s="104">
        <v>7.3999999999999996E-2</v>
      </c>
      <c r="AD66" s="104">
        <v>208</v>
      </c>
      <c r="AE66" s="104">
        <v>218</v>
      </c>
      <c r="AF66" s="104">
        <v>207</v>
      </c>
      <c r="AG66" s="104" t="s">
        <v>354</v>
      </c>
      <c r="AH66" s="104"/>
      <c r="AI66" s="104"/>
      <c r="AJ66" s="104"/>
      <c r="AK66" s="196" t="s">
        <v>293</v>
      </c>
      <c r="AL66" s="198">
        <v>4.12</v>
      </c>
      <c r="AM66" s="104"/>
      <c r="AN66" s="104" t="s">
        <v>232</v>
      </c>
      <c r="AO66" s="104">
        <v>0.08</v>
      </c>
      <c r="AP66" s="104">
        <v>8.3000000000000004E-2</v>
      </c>
      <c r="AQ66" s="104">
        <v>0.08</v>
      </c>
      <c r="AR66" s="104">
        <v>242</v>
      </c>
      <c r="AS66" s="104">
        <v>258</v>
      </c>
      <c r="AT66" s="104">
        <v>241</v>
      </c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  <c r="HA66" s="104"/>
      <c r="HB66" s="104"/>
      <c r="HC66" s="104"/>
      <c r="HD66" s="104"/>
      <c r="HE66" s="104"/>
      <c r="HF66" s="104"/>
      <c r="HG66" s="104"/>
      <c r="HH66" s="104"/>
      <c r="HI66" s="104"/>
      <c r="HJ66" s="104"/>
      <c r="HK66" s="104"/>
      <c r="HL66" s="104"/>
      <c r="HM66" s="104"/>
      <c r="HN66" s="104"/>
      <c r="HO66" s="104"/>
      <c r="HP66" s="104"/>
      <c r="HQ66" s="104"/>
      <c r="HR66" s="104"/>
      <c r="HS66" s="104"/>
      <c r="HT66" s="104"/>
      <c r="HU66" s="104"/>
      <c r="HV66" s="104"/>
      <c r="HW66" s="104"/>
      <c r="HX66" s="104"/>
      <c r="HY66" s="104"/>
      <c r="HZ66" s="104"/>
      <c r="IA66" s="104"/>
      <c r="IB66" s="104"/>
      <c r="IC66" s="104"/>
      <c r="ID66" s="104"/>
      <c r="IE66" s="104"/>
      <c r="IF66" s="104"/>
      <c r="IG66" s="104"/>
      <c r="IH66" s="104"/>
      <c r="II66" s="104"/>
      <c r="IJ66" s="104"/>
      <c r="IK66" s="104"/>
      <c r="IL66" s="104"/>
      <c r="IM66" s="104"/>
      <c r="IN66" s="104"/>
      <c r="IO66" s="104"/>
      <c r="IP66" s="104"/>
      <c r="IQ66" s="104"/>
      <c r="IR66" s="104"/>
      <c r="IS66" s="104"/>
      <c r="IT66" s="104"/>
      <c r="IU66" s="104"/>
      <c r="IV66" s="104"/>
      <c r="IW66" s="104"/>
      <c r="IX66" s="104"/>
      <c r="IY66" s="104"/>
      <c r="IZ66" s="104"/>
      <c r="JA66" s="104"/>
    </row>
    <row r="67" spans="1:261" ht="15" x14ac:dyDescent="0.25">
      <c r="A67" s="104"/>
      <c r="B67" s="104"/>
      <c r="C67" s="104"/>
      <c r="D67" s="104"/>
      <c r="E67" s="104"/>
      <c r="F67" s="104"/>
      <c r="G67" s="104"/>
      <c r="H67" s="104"/>
      <c r="I67" s="104"/>
      <c r="J67" s="151"/>
      <c r="K67" s="104"/>
      <c r="L67" s="104"/>
      <c r="M67" s="104"/>
      <c r="N67" s="151"/>
      <c r="O67" s="104"/>
      <c r="P67" s="104"/>
      <c r="Q67" s="104"/>
      <c r="R67" s="104"/>
      <c r="S67" s="104"/>
      <c r="T67" s="104"/>
      <c r="U67" s="196" t="s">
        <v>294</v>
      </c>
      <c r="V67" s="104" t="s">
        <v>350</v>
      </c>
      <c r="W67" s="196" t="s">
        <v>294</v>
      </c>
      <c r="X67" s="197">
        <v>4.74</v>
      </c>
      <c r="Y67" s="199">
        <v>0.75</v>
      </c>
      <c r="Z67" s="104" t="s">
        <v>232</v>
      </c>
      <c r="AA67" s="104">
        <v>9.4E-2</v>
      </c>
      <c r="AB67" s="104">
        <v>9.6000000000000002E-2</v>
      </c>
      <c r="AC67" s="104">
        <v>9.2999999999999999E-2</v>
      </c>
      <c r="AD67" s="104">
        <v>251</v>
      </c>
      <c r="AE67" s="104">
        <v>264</v>
      </c>
      <c r="AF67" s="104">
        <v>250</v>
      </c>
      <c r="AG67" s="104" t="s">
        <v>354</v>
      </c>
      <c r="AH67" s="104"/>
      <c r="AI67" s="104"/>
      <c r="AJ67" s="104"/>
      <c r="AK67" s="196" t="s">
        <v>294</v>
      </c>
      <c r="AL67" s="198">
        <v>4.12</v>
      </c>
      <c r="AM67" s="104"/>
      <c r="AN67" s="104" t="s">
        <v>232</v>
      </c>
      <c r="AO67" s="104">
        <v>0.105</v>
      </c>
      <c r="AP67" s="104">
        <v>0.108</v>
      </c>
      <c r="AQ67" s="104">
        <v>0.10299999999999999</v>
      </c>
      <c r="AR67" s="104">
        <v>295</v>
      </c>
      <c r="AS67" s="104">
        <v>316</v>
      </c>
      <c r="AT67" s="104">
        <v>294</v>
      </c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  <c r="IW67" s="104"/>
      <c r="IX67" s="104"/>
      <c r="IY67" s="104"/>
      <c r="IZ67" s="104"/>
      <c r="JA67" s="104"/>
    </row>
    <row r="68" spans="1:261" x14ac:dyDescent="0.2">
      <c r="A68" s="104"/>
      <c r="B68" s="104"/>
      <c r="C68" s="104"/>
      <c r="D68" s="104"/>
      <c r="E68" s="104"/>
      <c r="F68" s="104"/>
      <c r="G68" s="104"/>
      <c r="H68" s="104"/>
      <c r="I68" s="104"/>
      <c r="J68" s="151"/>
      <c r="K68" s="104"/>
      <c r="L68" s="104"/>
      <c r="M68" s="104"/>
      <c r="N68" s="151"/>
      <c r="O68" s="104"/>
      <c r="P68" s="104"/>
      <c r="Q68" s="104"/>
      <c r="R68" s="104"/>
      <c r="S68" s="104"/>
      <c r="T68" s="104"/>
      <c r="U68" s="200" t="s">
        <v>358</v>
      </c>
      <c r="V68" s="104" t="s">
        <v>351</v>
      </c>
      <c r="W68" s="200" t="s">
        <v>358</v>
      </c>
      <c r="X68" s="197">
        <v>16.14</v>
      </c>
      <c r="Y68" s="104"/>
      <c r="Z68" s="104" t="s">
        <v>232</v>
      </c>
      <c r="AA68" s="104">
        <v>0.05</v>
      </c>
      <c r="AB68" s="104">
        <v>0.05</v>
      </c>
      <c r="AC68" s="104">
        <v>0.05</v>
      </c>
      <c r="AD68" s="104">
        <v>177</v>
      </c>
      <c r="AE68" s="104"/>
      <c r="AF68" s="104"/>
      <c r="AG68" s="104" t="s">
        <v>355</v>
      </c>
      <c r="AH68" s="104"/>
      <c r="AI68" s="104"/>
      <c r="AJ68" s="104"/>
      <c r="AK68" s="200" t="s">
        <v>295</v>
      </c>
      <c r="AL68" s="198">
        <f>1.5*16.23</f>
        <v>24.344999999999999</v>
      </c>
      <c r="AM68" s="104"/>
      <c r="AN68" s="104" t="s">
        <v>232</v>
      </c>
      <c r="AO68" s="104">
        <v>0.05</v>
      </c>
      <c r="AP68" s="104"/>
      <c r="AQ68" s="104"/>
      <c r="AR68" s="104">
        <f>1.5*177</f>
        <v>265.5</v>
      </c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  <c r="HA68" s="104"/>
      <c r="HB68" s="104"/>
      <c r="HC68" s="104"/>
      <c r="HD68" s="104"/>
      <c r="HE68" s="104"/>
      <c r="HF68" s="104"/>
      <c r="HG68" s="104"/>
      <c r="HH68" s="104"/>
      <c r="HI68" s="104"/>
      <c r="HJ68" s="104"/>
      <c r="HK68" s="104"/>
      <c r="HL68" s="104"/>
      <c r="HM68" s="104"/>
      <c r="HN68" s="104"/>
      <c r="HO68" s="104"/>
      <c r="HP68" s="104"/>
      <c r="HQ68" s="104"/>
      <c r="HR68" s="104"/>
      <c r="HS68" s="104"/>
      <c r="HT68" s="104"/>
      <c r="HU68" s="104"/>
      <c r="HV68" s="104"/>
      <c r="HW68" s="104"/>
      <c r="HX68" s="104"/>
      <c r="HY68" s="104"/>
      <c r="HZ68" s="104"/>
      <c r="IA68" s="104"/>
      <c r="IB68" s="104"/>
      <c r="IC68" s="104"/>
      <c r="ID68" s="104"/>
      <c r="IE68" s="104"/>
      <c r="IF68" s="104"/>
      <c r="IG68" s="104"/>
      <c r="IH68" s="104"/>
      <c r="II68" s="104"/>
      <c r="IJ68" s="104"/>
      <c r="IK68" s="104"/>
      <c r="IL68" s="104"/>
      <c r="IM68" s="104"/>
      <c r="IN68" s="104"/>
      <c r="IO68" s="104"/>
      <c r="IP68" s="104"/>
      <c r="IQ68" s="104"/>
      <c r="IR68" s="104"/>
      <c r="IS68" s="104"/>
      <c r="IT68" s="104"/>
      <c r="IU68" s="104"/>
      <c r="IV68" s="104"/>
      <c r="IW68" s="104"/>
      <c r="IX68" s="104"/>
      <c r="IY68" s="104"/>
      <c r="IZ68" s="104"/>
      <c r="JA68" s="104"/>
    </row>
    <row r="69" spans="1:261" x14ac:dyDescent="0.2">
      <c r="A69" s="104"/>
      <c r="B69" s="104"/>
      <c r="C69" s="104"/>
      <c r="D69" s="104"/>
      <c r="E69" s="104"/>
      <c r="F69" s="104"/>
      <c r="G69" s="104"/>
      <c r="H69" s="104"/>
      <c r="I69" s="104"/>
      <c r="J69" s="151"/>
      <c r="K69" s="104"/>
      <c r="L69" s="104"/>
      <c r="M69" s="104"/>
      <c r="N69" s="151"/>
      <c r="O69" s="104"/>
      <c r="P69" s="104"/>
      <c r="Q69" s="104"/>
      <c r="R69" s="104"/>
      <c r="S69" s="104"/>
      <c r="T69" s="104"/>
      <c r="U69" s="200" t="s">
        <v>359</v>
      </c>
      <c r="V69" s="104" t="s">
        <v>352</v>
      </c>
      <c r="W69" s="200" t="s">
        <v>359</v>
      </c>
      <c r="X69" s="197">
        <v>16.14</v>
      </c>
      <c r="Y69" s="104"/>
      <c r="Z69" s="104" t="s">
        <v>232</v>
      </c>
      <c r="AA69" s="104">
        <v>0.05</v>
      </c>
      <c r="AB69" s="104">
        <v>0.05</v>
      </c>
      <c r="AC69" s="104">
        <v>0.05</v>
      </c>
      <c r="AD69" s="104">
        <v>195</v>
      </c>
      <c r="AE69" s="104"/>
      <c r="AF69" s="104"/>
      <c r="AG69" s="104" t="s">
        <v>355</v>
      </c>
      <c r="AH69" s="104"/>
      <c r="AI69" s="104"/>
      <c r="AJ69" s="104"/>
      <c r="AK69" s="200" t="s">
        <v>296</v>
      </c>
      <c r="AL69" s="198">
        <f t="shared" ref="AL69:AL70" si="2">1.5*16.23</f>
        <v>24.344999999999999</v>
      </c>
      <c r="AM69" s="104"/>
      <c r="AN69" s="104" t="s">
        <v>232</v>
      </c>
      <c r="AO69" s="104">
        <v>0.05</v>
      </c>
      <c r="AP69" s="104"/>
      <c r="AQ69" s="104"/>
      <c r="AR69" s="104">
        <f>1.5*195</f>
        <v>292.5</v>
      </c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  <c r="HO69" s="104"/>
      <c r="HP69" s="104"/>
      <c r="HQ69" s="104"/>
      <c r="HR69" s="104"/>
      <c r="HS69" s="104"/>
      <c r="HT69" s="104"/>
      <c r="HU69" s="104"/>
      <c r="HV69" s="104"/>
      <c r="HW69" s="104"/>
      <c r="HX69" s="104"/>
      <c r="HY69" s="104"/>
      <c r="HZ69" s="104"/>
      <c r="IA69" s="104"/>
      <c r="IB69" s="104"/>
      <c r="IC69" s="104"/>
      <c r="ID69" s="104"/>
      <c r="IE69" s="104"/>
      <c r="IF69" s="104"/>
      <c r="IG69" s="104"/>
      <c r="IH69" s="104"/>
      <c r="II69" s="104"/>
      <c r="IJ69" s="104"/>
      <c r="IK69" s="104"/>
      <c r="IL69" s="104"/>
      <c r="IM69" s="104"/>
      <c r="IN69" s="104"/>
      <c r="IO69" s="104"/>
      <c r="IP69" s="104"/>
      <c r="IQ69" s="104"/>
      <c r="IR69" s="104"/>
      <c r="IS69" s="104"/>
      <c r="IT69" s="104"/>
      <c r="IU69" s="104"/>
      <c r="IV69" s="104"/>
      <c r="IW69" s="104"/>
      <c r="IX69" s="104"/>
      <c r="IY69" s="104"/>
      <c r="IZ69" s="104"/>
      <c r="JA69" s="104"/>
    </row>
    <row r="70" spans="1:261" x14ac:dyDescent="0.2">
      <c r="A70" s="104"/>
      <c r="B70" s="104"/>
      <c r="C70" s="104"/>
      <c r="D70" s="104"/>
      <c r="E70" s="104"/>
      <c r="F70" s="104"/>
      <c r="G70" s="104"/>
      <c r="H70" s="104"/>
      <c r="I70" s="104"/>
      <c r="J70" s="151"/>
      <c r="K70" s="104"/>
      <c r="L70" s="104"/>
      <c r="M70" s="104"/>
      <c r="N70" s="151"/>
      <c r="O70" s="104"/>
      <c r="P70" s="104"/>
      <c r="Q70" s="104"/>
      <c r="R70" s="104"/>
      <c r="S70" s="104"/>
      <c r="T70" s="104"/>
      <c r="U70" s="200" t="s">
        <v>360</v>
      </c>
      <c r="V70" s="104" t="s">
        <v>353</v>
      </c>
      <c r="W70" s="200" t="s">
        <v>360</v>
      </c>
      <c r="X70" s="197">
        <v>16.14</v>
      </c>
      <c r="Y70" s="104"/>
      <c r="Z70" s="104" t="s">
        <v>232</v>
      </c>
      <c r="AA70" s="104">
        <v>0.05</v>
      </c>
      <c r="AB70" s="104">
        <v>0.05</v>
      </c>
      <c r="AC70" s="104">
        <v>0.05</v>
      </c>
      <c r="AD70" s="104">
        <v>217</v>
      </c>
      <c r="AE70" s="104"/>
      <c r="AF70" s="104"/>
      <c r="AG70" s="104" t="s">
        <v>355</v>
      </c>
      <c r="AH70" s="104"/>
      <c r="AI70" s="104"/>
      <c r="AJ70" s="104"/>
      <c r="AK70" s="200" t="s">
        <v>297</v>
      </c>
      <c r="AL70" s="198">
        <f t="shared" si="2"/>
        <v>24.344999999999999</v>
      </c>
      <c r="AM70" s="104"/>
      <c r="AN70" s="104" t="s">
        <v>232</v>
      </c>
      <c r="AO70" s="104">
        <v>0.05</v>
      </c>
      <c r="AP70" s="104"/>
      <c r="AQ70" s="104"/>
      <c r="AR70" s="104">
        <f>1.5*217</f>
        <v>325.5</v>
      </c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  <c r="HA70" s="104"/>
      <c r="HB70" s="104"/>
      <c r="HC70" s="104"/>
      <c r="HD70" s="104"/>
      <c r="HE70" s="104"/>
      <c r="HF70" s="104"/>
      <c r="HG70" s="104"/>
      <c r="HH70" s="104"/>
      <c r="HI70" s="104"/>
      <c r="HJ70" s="104"/>
      <c r="HK70" s="104"/>
      <c r="HL70" s="104"/>
      <c r="HM70" s="104"/>
      <c r="HN70" s="104"/>
      <c r="HO70" s="104"/>
      <c r="HP70" s="104"/>
      <c r="HQ70" s="104"/>
      <c r="HR70" s="104"/>
      <c r="HS70" s="104"/>
      <c r="HT70" s="104"/>
      <c r="HU70" s="104"/>
      <c r="HV70" s="104"/>
      <c r="HW70" s="104"/>
      <c r="HX70" s="104"/>
      <c r="HY70" s="104"/>
      <c r="HZ70" s="104"/>
      <c r="IA70" s="104"/>
      <c r="IB70" s="104"/>
      <c r="IC70" s="104"/>
      <c r="ID70" s="104"/>
      <c r="IE70" s="104"/>
      <c r="IF70" s="104"/>
      <c r="IG70" s="104"/>
      <c r="IH70" s="104"/>
      <c r="II70" s="104"/>
      <c r="IJ70" s="104"/>
      <c r="IK70" s="104"/>
      <c r="IL70" s="104"/>
      <c r="IM70" s="104"/>
      <c r="IN70" s="104"/>
      <c r="IO70" s="104"/>
      <c r="IP70" s="104"/>
      <c r="IQ70" s="104"/>
      <c r="IR70" s="104"/>
      <c r="IS70" s="104"/>
      <c r="IT70" s="104"/>
      <c r="IU70" s="104"/>
      <c r="IV70" s="104"/>
      <c r="IW70" s="104"/>
      <c r="IX70" s="104"/>
      <c r="IY70" s="104"/>
      <c r="IZ70" s="104"/>
      <c r="JA70" s="104"/>
    </row>
    <row r="71" spans="1:261" x14ac:dyDescent="0.2">
      <c r="A71" s="104"/>
      <c r="B71" s="104"/>
      <c r="C71" s="104"/>
      <c r="D71" s="104"/>
      <c r="E71" s="104"/>
      <c r="F71" s="104"/>
      <c r="G71" s="104"/>
      <c r="H71" s="104"/>
      <c r="I71" s="104"/>
      <c r="J71" s="151"/>
      <c r="K71" s="104"/>
      <c r="L71" s="104"/>
      <c r="M71" s="104"/>
      <c r="N71" s="151"/>
      <c r="O71" s="104"/>
      <c r="P71" s="104"/>
      <c r="Q71" s="104"/>
      <c r="R71" s="104"/>
      <c r="S71" s="104"/>
      <c r="T71" s="104"/>
      <c r="U71" s="201" t="s">
        <v>271</v>
      </c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  <c r="HO71" s="104"/>
      <c r="HP71" s="104"/>
      <c r="HQ71" s="104"/>
      <c r="HR71" s="104"/>
      <c r="HS71" s="104"/>
      <c r="HT71" s="104"/>
      <c r="HU71" s="104"/>
      <c r="HV71" s="104"/>
      <c r="HW71" s="104"/>
      <c r="HX71" s="104"/>
      <c r="HY71" s="104"/>
      <c r="HZ71" s="104"/>
      <c r="IA71" s="104"/>
      <c r="IB71" s="104"/>
      <c r="IC71" s="104"/>
      <c r="ID71" s="104"/>
      <c r="IE71" s="104"/>
      <c r="IF71" s="104"/>
      <c r="IG71" s="104"/>
      <c r="IH71" s="104"/>
      <c r="II71" s="104"/>
      <c r="IJ71" s="104"/>
      <c r="IK71" s="104"/>
      <c r="IL71" s="104"/>
      <c r="IM71" s="104"/>
      <c r="IN71" s="104"/>
      <c r="IO71" s="104"/>
      <c r="IP71" s="104"/>
      <c r="IQ71" s="104"/>
      <c r="IR71" s="104"/>
      <c r="IS71" s="104"/>
      <c r="IT71" s="104"/>
      <c r="IU71" s="104"/>
      <c r="IV71" s="104"/>
      <c r="IW71" s="104"/>
      <c r="IX71" s="104"/>
      <c r="IY71" s="104"/>
      <c r="IZ71" s="104"/>
      <c r="JA71" s="104"/>
    </row>
    <row r="72" spans="1:261" ht="15" x14ac:dyDescent="0.25">
      <c r="A72" s="104"/>
      <c r="B72" s="104"/>
      <c r="C72" s="104"/>
      <c r="D72" s="104"/>
      <c r="E72" s="104"/>
      <c r="F72" s="104"/>
      <c r="G72" s="104"/>
      <c r="H72" s="104"/>
      <c r="I72" s="104"/>
      <c r="J72" s="151"/>
      <c r="K72" s="104"/>
      <c r="L72" s="104"/>
      <c r="M72" s="104"/>
      <c r="N72" s="151"/>
      <c r="O72" s="104"/>
      <c r="P72" s="104"/>
      <c r="Q72" s="104"/>
      <c r="R72" s="104"/>
      <c r="S72" s="104"/>
      <c r="T72" s="104"/>
      <c r="U72" s="104"/>
      <c r="V72" s="104"/>
      <c r="W72" s="201" t="s">
        <v>269</v>
      </c>
      <c r="X72" s="104"/>
      <c r="Y72" s="104"/>
      <c r="Z72" s="104"/>
      <c r="AA72" s="104"/>
      <c r="AB72" s="104">
        <f>((M17)-5)/100</f>
        <v>0</v>
      </c>
      <c r="AC72" s="104"/>
      <c r="AD72" s="104"/>
      <c r="AE72" s="104"/>
      <c r="AF72" s="104"/>
      <c r="AG72" s="159" t="s">
        <v>270</v>
      </c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  <c r="HA72" s="104"/>
      <c r="HB72" s="104"/>
      <c r="HC72" s="104"/>
      <c r="HD72" s="104"/>
      <c r="HE72" s="104"/>
      <c r="HF72" s="104"/>
      <c r="HG72" s="104"/>
      <c r="HH72" s="104"/>
      <c r="HI72" s="104"/>
      <c r="HJ72" s="104"/>
      <c r="HK72" s="104"/>
      <c r="HL72" s="104"/>
      <c r="HM72" s="104"/>
      <c r="HN72" s="104"/>
      <c r="HO72" s="104"/>
      <c r="HP72" s="104"/>
      <c r="HQ72" s="104"/>
      <c r="HR72" s="104"/>
      <c r="HS72" s="104"/>
      <c r="HT72" s="104"/>
      <c r="HU72" s="104"/>
      <c r="HV72" s="104"/>
      <c r="HW72" s="104"/>
      <c r="HX72" s="104"/>
      <c r="HY72" s="104"/>
      <c r="HZ72" s="104"/>
      <c r="IA72" s="104"/>
      <c r="IB72" s="104"/>
      <c r="IC72" s="104"/>
      <c r="ID72" s="104"/>
      <c r="IE72" s="104"/>
      <c r="IF72" s="104"/>
      <c r="IG72" s="104"/>
      <c r="IH72" s="104"/>
      <c r="II72" s="104"/>
      <c r="IJ72" s="104"/>
      <c r="IK72" s="104"/>
      <c r="IL72" s="104"/>
      <c r="IM72" s="104"/>
      <c r="IN72" s="104"/>
      <c r="IO72" s="104"/>
      <c r="IP72" s="104"/>
      <c r="IQ72" s="104"/>
      <c r="IR72" s="104"/>
      <c r="IS72" s="104"/>
      <c r="IT72" s="104"/>
      <c r="IU72" s="104"/>
      <c r="IV72" s="104"/>
      <c r="IW72" s="104"/>
      <c r="IX72" s="104"/>
      <c r="IY72" s="104"/>
      <c r="IZ72" s="104"/>
      <c r="JA72" s="104"/>
    </row>
    <row r="73" spans="1:261" ht="15" x14ac:dyDescent="0.25">
      <c r="A73" s="104"/>
      <c r="B73" s="104"/>
      <c r="C73" s="104"/>
      <c r="D73" s="104"/>
      <c r="E73" s="104"/>
      <c r="F73" s="104"/>
      <c r="G73" s="104"/>
      <c r="H73" s="104"/>
      <c r="I73" s="104"/>
      <c r="J73" s="151"/>
      <c r="K73" s="104"/>
      <c r="L73" s="104"/>
      <c r="M73" s="104"/>
      <c r="N73" s="151"/>
      <c r="O73" s="104"/>
      <c r="P73" s="104"/>
      <c r="Q73" s="104"/>
      <c r="R73" s="104"/>
      <c r="S73" s="104"/>
      <c r="T73" s="104"/>
      <c r="U73" s="104"/>
      <c r="V73" s="104"/>
      <c r="W73" s="201" t="s">
        <v>298</v>
      </c>
      <c r="X73" s="104" t="s">
        <v>299</v>
      </c>
      <c r="Y73" s="104"/>
      <c r="Z73" s="104"/>
      <c r="AA73" s="104" t="s">
        <v>300</v>
      </c>
      <c r="AB73" s="104"/>
      <c r="AC73" s="104"/>
      <c r="AD73" s="104"/>
      <c r="AE73" s="104"/>
      <c r="AF73" s="104"/>
      <c r="AG73" s="159" t="s">
        <v>202</v>
      </c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  <c r="HA73" s="104"/>
      <c r="HB73" s="104"/>
      <c r="HC73" s="104"/>
      <c r="HD73" s="104"/>
      <c r="HE73" s="104"/>
      <c r="HF73" s="104"/>
      <c r="HG73" s="104"/>
      <c r="HH73" s="104"/>
      <c r="HI73" s="104"/>
      <c r="HJ73" s="104"/>
      <c r="HK73" s="104"/>
      <c r="HL73" s="104"/>
      <c r="HM73" s="104"/>
      <c r="HN73" s="104"/>
      <c r="HO73" s="104"/>
      <c r="HP73" s="104"/>
      <c r="HQ73" s="104"/>
      <c r="HR73" s="104"/>
      <c r="HS73" s="104"/>
      <c r="HT73" s="104"/>
      <c r="HU73" s="104"/>
      <c r="HV73" s="104"/>
      <c r="HW73" s="104"/>
      <c r="HX73" s="104"/>
      <c r="HY73" s="104"/>
      <c r="HZ73" s="104"/>
      <c r="IA73" s="104"/>
      <c r="IB73" s="104"/>
      <c r="IC73" s="104"/>
      <c r="ID73" s="104"/>
      <c r="IE73" s="104"/>
      <c r="IF73" s="104"/>
      <c r="IG73" s="104"/>
      <c r="IH73" s="104"/>
      <c r="II73" s="104"/>
      <c r="IJ73" s="104"/>
      <c r="IK73" s="104"/>
      <c r="IL73" s="104"/>
      <c r="IM73" s="104"/>
      <c r="IN73" s="104"/>
      <c r="IO73" s="104"/>
      <c r="IP73" s="104"/>
      <c r="IQ73" s="104"/>
      <c r="IR73" s="104"/>
      <c r="IS73" s="104"/>
      <c r="IT73" s="104"/>
      <c r="IU73" s="104"/>
      <c r="IV73" s="104"/>
      <c r="IW73" s="104"/>
      <c r="IX73" s="104"/>
      <c r="IY73" s="104"/>
      <c r="IZ73" s="104"/>
      <c r="JA73" s="104"/>
    </row>
    <row r="74" spans="1:261" x14ac:dyDescent="0.2">
      <c r="A74" s="104"/>
      <c r="B74" s="104"/>
      <c r="C74" s="104"/>
      <c r="D74" s="104"/>
      <c r="E74" s="104"/>
      <c r="F74" s="104"/>
      <c r="G74" s="104"/>
      <c r="H74" s="104"/>
      <c r="I74" s="104"/>
      <c r="J74" s="151"/>
      <c r="K74" s="104"/>
      <c r="L74" s="104"/>
      <c r="M74" s="104"/>
      <c r="N74" s="151"/>
      <c r="O74" s="104"/>
      <c r="P74" s="104"/>
      <c r="Q74" s="104"/>
      <c r="R74" s="104"/>
      <c r="S74" s="104"/>
      <c r="T74" s="104"/>
      <c r="U74" s="104"/>
      <c r="V74" s="104"/>
      <c r="W74" s="156" t="s">
        <v>223</v>
      </c>
      <c r="X74" s="104" t="b">
        <f>+IF(D17=W24, IF(E17=X11,VLOOKUP(H17,W42:X67,2,FALSE),VLOOKUP(H17,AK42:AL67,2,FALSE)))</f>
        <v>0</v>
      </c>
      <c r="Y74" s="104"/>
      <c r="Z74" s="104"/>
      <c r="AA74" s="104">
        <f>+IF(D17=W24, IF(E17=X11,VLOOKUP(H17,W42:AA67,5,FALSE),VLOOKUP(H17,AK42:AO67,5,FALSE)))+AB72</f>
        <v>0</v>
      </c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4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  <c r="HO74" s="104"/>
      <c r="HP74" s="104"/>
      <c r="HQ74" s="104"/>
      <c r="HR74" s="104"/>
      <c r="HS74" s="104"/>
      <c r="HT74" s="104"/>
      <c r="HU74" s="104"/>
      <c r="HV74" s="104"/>
      <c r="HW74" s="104"/>
      <c r="HX74" s="104"/>
      <c r="HY74" s="104"/>
      <c r="HZ74" s="104"/>
      <c r="IA74" s="104"/>
      <c r="IB74" s="104"/>
      <c r="IC74" s="104"/>
      <c r="ID74" s="104"/>
      <c r="IE74" s="104"/>
      <c r="IF74" s="104"/>
      <c r="IG74" s="104"/>
      <c r="IH74" s="104"/>
      <c r="II74" s="104"/>
      <c r="IJ74" s="104"/>
      <c r="IK74" s="104"/>
      <c r="IL74" s="104"/>
      <c r="IM74" s="104"/>
      <c r="IN74" s="104"/>
      <c r="IO74" s="104"/>
      <c r="IP74" s="104"/>
      <c r="IQ74" s="104"/>
      <c r="IR74" s="104"/>
      <c r="IS74" s="104"/>
      <c r="IT74" s="104"/>
      <c r="IU74" s="104"/>
      <c r="IV74" s="104"/>
      <c r="IW74" s="104"/>
      <c r="IX74" s="104"/>
      <c r="IY74" s="104"/>
      <c r="IZ74" s="104"/>
      <c r="JA74" s="104"/>
    </row>
    <row r="75" spans="1:261" x14ac:dyDescent="0.2">
      <c r="A75" s="104"/>
      <c r="B75" s="104"/>
      <c r="C75" s="104"/>
      <c r="D75" s="104"/>
      <c r="E75" s="104"/>
      <c r="F75" s="104"/>
      <c r="G75" s="104"/>
      <c r="H75" s="104"/>
      <c r="I75" s="104"/>
      <c r="J75" s="151"/>
      <c r="K75" s="104"/>
      <c r="L75" s="104"/>
      <c r="M75" s="104"/>
      <c r="N75" s="151"/>
      <c r="O75" s="104"/>
      <c r="P75" s="104"/>
      <c r="Q75" s="104"/>
      <c r="R75" s="104"/>
      <c r="S75" s="104"/>
      <c r="T75" s="104"/>
      <c r="U75" s="104"/>
      <c r="V75" s="104"/>
      <c r="W75" s="156" t="s">
        <v>201</v>
      </c>
      <c r="X75" s="104">
        <f>+IF(D17=W25, IF(E17=X11,VLOOKUP(H17,W42:X67,2,FALSE),VLOOKUP(H17,AK42:AL67,2,FALSE)))</f>
        <v>-4.8600000000000003</v>
      </c>
      <c r="Y75" s="104"/>
      <c r="Z75" s="104"/>
      <c r="AA75" s="104">
        <f>+IF(D17=W25, IF(E17=X11,VLOOKUP(H17,W42:AB67,6,FALSE),VLOOKUP(H17,AK42:AP67,6,FALSE)))+AB72</f>
        <v>7.0999999999999994E-2</v>
      </c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  <c r="HO75" s="104"/>
      <c r="HP75" s="104"/>
      <c r="HQ75" s="104"/>
      <c r="HR75" s="104"/>
      <c r="HS75" s="104"/>
      <c r="HT75" s="104"/>
      <c r="HU75" s="104"/>
      <c r="HV75" s="104"/>
      <c r="HW75" s="104"/>
      <c r="HX75" s="104"/>
      <c r="HY75" s="104"/>
      <c r="HZ75" s="104"/>
      <c r="IA75" s="104"/>
      <c r="IB75" s="104"/>
      <c r="IC75" s="104"/>
      <c r="ID75" s="104"/>
      <c r="IE75" s="104"/>
      <c r="IF75" s="104"/>
      <c r="IG75" s="104"/>
      <c r="IH75" s="104"/>
      <c r="II75" s="104"/>
      <c r="IJ75" s="104"/>
      <c r="IK75" s="104"/>
      <c r="IL75" s="104"/>
      <c r="IM75" s="104"/>
      <c r="IN75" s="104"/>
      <c r="IO75" s="104"/>
      <c r="IP75" s="104"/>
      <c r="IQ75" s="104"/>
      <c r="IR75" s="104"/>
      <c r="IS75" s="104"/>
      <c r="IT75" s="104"/>
      <c r="IU75" s="104"/>
      <c r="IV75" s="104"/>
      <c r="IW75" s="104"/>
      <c r="IX75" s="104"/>
      <c r="IY75" s="104"/>
      <c r="IZ75" s="104"/>
      <c r="JA75" s="104"/>
    </row>
    <row r="76" spans="1:261" x14ac:dyDescent="0.2">
      <c r="A76" s="104"/>
      <c r="B76" s="104"/>
      <c r="C76" s="104"/>
      <c r="D76" s="104"/>
      <c r="E76" s="104"/>
      <c r="F76" s="104"/>
      <c r="G76" s="104"/>
      <c r="H76" s="104"/>
      <c r="I76" s="104"/>
      <c r="J76" s="151"/>
      <c r="K76" s="104"/>
      <c r="L76" s="104"/>
      <c r="M76" s="104"/>
      <c r="N76" s="151"/>
      <c r="O76" s="104"/>
      <c r="P76" s="104"/>
      <c r="Q76" s="104"/>
      <c r="R76" s="104"/>
      <c r="S76" s="104"/>
      <c r="T76" s="104"/>
      <c r="U76" s="104"/>
      <c r="V76" s="104"/>
      <c r="W76" s="156" t="s">
        <v>228</v>
      </c>
      <c r="X76" s="104" t="b">
        <f>+IF(D17=W26, IF(E17=X11,VLOOKUP(H17,W42:X67,2,FALSE),VLOOKUP(H17,AK42:AL67,2,FALSE)))</f>
        <v>0</v>
      </c>
      <c r="Y76" s="104"/>
      <c r="Z76" s="104"/>
      <c r="AA76" s="104">
        <f>+IF(D17=W26, IF(E17=X11,VLOOKUP(H17,W42:AC67,7,FALSE),VLOOKUP(H17,AK42:AQ67,7,FALSE)))+AB72</f>
        <v>0</v>
      </c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  <c r="HO76" s="104"/>
      <c r="HP76" s="104"/>
      <c r="HQ76" s="104"/>
      <c r="HR76" s="104"/>
      <c r="HS76" s="104"/>
      <c r="HT76" s="104"/>
      <c r="HU76" s="104"/>
      <c r="HV76" s="104"/>
      <c r="HW76" s="104"/>
      <c r="HX76" s="104"/>
      <c r="HY76" s="104"/>
      <c r="HZ76" s="104"/>
      <c r="IA76" s="104"/>
      <c r="IB76" s="104"/>
      <c r="IC76" s="104"/>
      <c r="ID76" s="104"/>
      <c r="IE76" s="104"/>
      <c r="IF76" s="104"/>
      <c r="IG76" s="104"/>
      <c r="IH76" s="104"/>
      <c r="II76" s="104"/>
      <c r="IJ76" s="104"/>
      <c r="IK76" s="104"/>
      <c r="IL76" s="104"/>
      <c r="IM76" s="104"/>
      <c r="IN76" s="104"/>
      <c r="IO76" s="104"/>
      <c r="IP76" s="104"/>
      <c r="IQ76" s="104"/>
      <c r="IR76" s="104"/>
      <c r="IS76" s="104"/>
      <c r="IT76" s="104"/>
      <c r="IU76" s="104"/>
      <c r="IV76" s="104"/>
      <c r="IW76" s="104"/>
      <c r="IX76" s="104"/>
      <c r="IY76" s="104"/>
      <c r="IZ76" s="104"/>
      <c r="JA76" s="104"/>
    </row>
    <row r="77" spans="1:261" x14ac:dyDescent="0.2">
      <c r="A77" s="104"/>
      <c r="B77" s="104"/>
      <c r="C77" s="104"/>
      <c r="D77" s="104"/>
      <c r="E77" s="104"/>
      <c r="F77" s="104"/>
      <c r="G77" s="104"/>
      <c r="H77" s="104"/>
      <c r="I77" s="104"/>
      <c r="J77" s="151"/>
      <c r="K77" s="104"/>
      <c r="L77" s="104"/>
      <c r="M77" s="104"/>
      <c r="N77" s="151"/>
      <c r="O77" s="104"/>
      <c r="P77" s="104"/>
      <c r="Q77" s="104"/>
      <c r="R77" s="104"/>
      <c r="S77" s="104"/>
      <c r="T77" s="104"/>
      <c r="U77" s="104"/>
      <c r="V77" s="104"/>
      <c r="W77" s="156" t="s">
        <v>288</v>
      </c>
      <c r="X77" s="104" t="b">
        <f>+IF(D17=W27, IF(E17=X11,VLOOKUP(H17,W68:X70,2,FALSE),VLOOKUP(H17,AK68:AL70,2,FALSE)))</f>
        <v>0</v>
      </c>
      <c r="Y77" s="104"/>
      <c r="Z77" s="104"/>
      <c r="AA77" s="104">
        <f>+VLOOKUP(H17,W42:AC70,7,FALSE)+AB72</f>
        <v>7.0000000000000007E-2</v>
      </c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4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  <c r="HO77" s="104"/>
      <c r="HP77" s="104"/>
      <c r="HQ77" s="104"/>
      <c r="HR77" s="104"/>
      <c r="HS77" s="104"/>
      <c r="HT77" s="104"/>
      <c r="HU77" s="104"/>
      <c r="HV77" s="104"/>
      <c r="HW77" s="104"/>
      <c r="HX77" s="104"/>
      <c r="HY77" s="104"/>
      <c r="HZ77" s="104"/>
      <c r="IA77" s="104"/>
      <c r="IB77" s="104"/>
      <c r="IC77" s="104"/>
      <c r="ID77" s="104"/>
      <c r="IE77" s="104"/>
      <c r="IF77" s="104"/>
      <c r="IG77" s="104"/>
      <c r="IH77" s="104"/>
      <c r="II77" s="104"/>
      <c r="IJ77" s="104"/>
      <c r="IK77" s="104"/>
      <c r="IL77" s="104"/>
      <c r="IM77" s="104"/>
      <c r="IN77" s="104"/>
      <c r="IO77" s="104"/>
      <c r="IP77" s="104"/>
      <c r="IQ77" s="104"/>
      <c r="IR77" s="104"/>
      <c r="IS77" s="104"/>
      <c r="IT77" s="104"/>
      <c r="IU77" s="104"/>
      <c r="IV77" s="104"/>
      <c r="IW77" s="104"/>
      <c r="IX77" s="104"/>
      <c r="IY77" s="104"/>
      <c r="IZ77" s="104"/>
      <c r="JA77" s="104"/>
    </row>
    <row r="78" spans="1:261" x14ac:dyDescent="0.2">
      <c r="A78" s="104"/>
      <c r="B78" s="104"/>
      <c r="C78" s="104"/>
      <c r="D78" s="104"/>
      <c r="E78" s="104"/>
      <c r="F78" s="104"/>
      <c r="G78" s="104"/>
      <c r="H78" s="104"/>
      <c r="I78" s="104"/>
      <c r="J78" s="151"/>
      <c r="K78" s="104"/>
      <c r="L78" s="104"/>
      <c r="M78" s="104"/>
      <c r="N78" s="151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  <c r="HA78" s="104"/>
      <c r="HB78" s="104"/>
      <c r="HC78" s="104"/>
      <c r="HD78" s="104"/>
      <c r="HE78" s="104"/>
      <c r="HF78" s="104"/>
      <c r="HG78" s="104"/>
      <c r="HH78" s="104"/>
      <c r="HI78" s="104"/>
      <c r="HJ78" s="104"/>
      <c r="HK78" s="104"/>
      <c r="HL78" s="104"/>
      <c r="HM78" s="104"/>
      <c r="HN78" s="104"/>
      <c r="HO78" s="104"/>
      <c r="HP78" s="104"/>
      <c r="HQ78" s="104"/>
      <c r="HR78" s="104"/>
      <c r="HS78" s="104"/>
      <c r="HT78" s="104"/>
      <c r="HU78" s="104"/>
      <c r="HV78" s="104"/>
      <c r="HW78" s="104"/>
      <c r="HX78" s="104"/>
      <c r="HY78" s="104"/>
      <c r="HZ78" s="104"/>
      <c r="IA78" s="104"/>
      <c r="IB78" s="104"/>
      <c r="IC78" s="104"/>
      <c r="ID78" s="104"/>
      <c r="IE78" s="104"/>
      <c r="IF78" s="104"/>
      <c r="IG78" s="104"/>
      <c r="IH78" s="104"/>
      <c r="II78" s="104"/>
      <c r="IJ78" s="104"/>
      <c r="IK78" s="104"/>
      <c r="IL78" s="104"/>
      <c r="IM78" s="104"/>
      <c r="IN78" s="104"/>
      <c r="IO78" s="104"/>
      <c r="IP78" s="104"/>
      <c r="IQ78" s="104"/>
      <c r="IR78" s="104"/>
      <c r="IS78" s="104"/>
      <c r="IT78" s="104"/>
      <c r="IU78" s="104"/>
      <c r="IV78" s="104"/>
      <c r="IW78" s="104"/>
      <c r="IX78" s="104"/>
      <c r="IY78" s="104"/>
      <c r="IZ78" s="104"/>
      <c r="JA78" s="104"/>
    </row>
    <row r="79" spans="1:261" x14ac:dyDescent="0.2">
      <c r="A79" s="104"/>
      <c r="B79" s="104"/>
      <c r="C79" s="104"/>
      <c r="D79" s="104"/>
      <c r="E79" s="104"/>
      <c r="F79" s="104"/>
      <c r="G79" s="104"/>
      <c r="H79" s="104"/>
      <c r="I79" s="104"/>
      <c r="J79" s="151"/>
      <c r="K79" s="104"/>
      <c r="L79" s="104"/>
      <c r="M79" s="104"/>
      <c r="N79" s="151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  <c r="HO79" s="104"/>
      <c r="HP79" s="104"/>
      <c r="HQ79" s="104"/>
      <c r="HR79" s="104"/>
      <c r="HS79" s="104"/>
      <c r="HT79" s="104"/>
      <c r="HU79" s="104"/>
      <c r="HV79" s="104"/>
      <c r="HW79" s="104"/>
      <c r="HX79" s="104"/>
      <c r="HY79" s="104"/>
      <c r="HZ79" s="104"/>
      <c r="IA79" s="104"/>
      <c r="IB79" s="104"/>
      <c r="IC79" s="104"/>
      <c r="ID79" s="104"/>
      <c r="IE79" s="104"/>
      <c r="IF79" s="104"/>
      <c r="IG79" s="104"/>
      <c r="IH79" s="104"/>
      <c r="II79" s="104"/>
      <c r="IJ79" s="104"/>
      <c r="IK79" s="104"/>
      <c r="IL79" s="104"/>
      <c r="IM79" s="104"/>
      <c r="IN79" s="104"/>
      <c r="IO79" s="104"/>
      <c r="IP79" s="104"/>
      <c r="IQ79" s="104"/>
      <c r="IR79" s="104"/>
      <c r="IS79" s="104"/>
      <c r="IT79" s="104"/>
      <c r="IU79" s="104"/>
      <c r="IV79" s="104"/>
      <c r="IW79" s="104"/>
      <c r="IX79" s="104"/>
      <c r="IY79" s="104"/>
      <c r="IZ79" s="104"/>
      <c r="JA79" s="104"/>
    </row>
    <row r="80" spans="1:261" x14ac:dyDescent="0.2">
      <c r="A80" s="104"/>
      <c r="B80" s="104"/>
      <c r="C80" s="104"/>
      <c r="D80" s="104"/>
      <c r="E80" s="104"/>
      <c r="F80" s="104"/>
      <c r="G80" s="104"/>
      <c r="H80" s="104"/>
      <c r="I80" s="104"/>
      <c r="J80" s="151"/>
      <c r="K80" s="104"/>
      <c r="L80" s="104"/>
      <c r="M80" s="104"/>
      <c r="N80" s="151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  <c r="HA80" s="104"/>
      <c r="HB80" s="104"/>
      <c r="HC80" s="104"/>
      <c r="HD80" s="104"/>
      <c r="HE80" s="104"/>
      <c r="HF80" s="104"/>
      <c r="HG80" s="104"/>
      <c r="HH80" s="104"/>
      <c r="HI80" s="104"/>
      <c r="HJ80" s="104"/>
      <c r="HK80" s="104"/>
      <c r="HL80" s="104"/>
      <c r="HM80" s="104"/>
      <c r="HN80" s="104"/>
      <c r="HO80" s="104"/>
      <c r="HP80" s="104"/>
      <c r="HQ80" s="104"/>
      <c r="HR80" s="104"/>
      <c r="HS80" s="104"/>
      <c r="HT80" s="104"/>
      <c r="HU80" s="104"/>
      <c r="HV80" s="104"/>
      <c r="HW80" s="104"/>
      <c r="HX80" s="104"/>
      <c r="HY80" s="104"/>
      <c r="HZ80" s="104"/>
      <c r="IA80" s="104"/>
      <c r="IB80" s="104"/>
      <c r="IC80" s="104"/>
      <c r="ID80" s="104"/>
      <c r="IE80" s="104"/>
      <c r="IF80" s="104"/>
      <c r="IG80" s="104"/>
      <c r="IH80" s="104"/>
      <c r="II80" s="104"/>
      <c r="IJ80" s="104"/>
      <c r="IK80" s="104"/>
      <c r="IL80" s="104"/>
      <c r="IM80" s="104"/>
      <c r="IN80" s="104"/>
      <c r="IO80" s="104"/>
      <c r="IP80" s="104"/>
      <c r="IQ80" s="104"/>
      <c r="IR80" s="104"/>
      <c r="IS80" s="104"/>
      <c r="IT80" s="104"/>
      <c r="IU80" s="104"/>
      <c r="IV80" s="104"/>
      <c r="IW80" s="104"/>
      <c r="IX80" s="104"/>
      <c r="IY80" s="104"/>
      <c r="IZ80" s="104"/>
      <c r="JA80" s="104"/>
    </row>
    <row r="81" spans="1:261" x14ac:dyDescent="0.2">
      <c r="A81" s="104"/>
      <c r="B81" s="104"/>
      <c r="C81" s="104"/>
      <c r="D81" s="104"/>
      <c r="E81" s="104"/>
      <c r="F81" s="104"/>
      <c r="G81" s="104"/>
      <c r="H81" s="104"/>
      <c r="I81" s="104"/>
      <c r="J81" s="151"/>
      <c r="K81" s="104"/>
      <c r="L81" s="104"/>
      <c r="M81" s="104"/>
      <c r="N81" s="151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04"/>
      <c r="EZ81" s="104"/>
      <c r="FA81" s="104"/>
      <c r="FB81" s="104"/>
      <c r="FC81" s="104"/>
      <c r="FD81" s="104"/>
      <c r="FE81" s="104"/>
      <c r="FF81" s="104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  <c r="HA81" s="104"/>
      <c r="HB81" s="104"/>
      <c r="HC81" s="104"/>
      <c r="HD81" s="104"/>
      <c r="HE81" s="104"/>
      <c r="HF81" s="104"/>
      <c r="HG81" s="104"/>
      <c r="HH81" s="104"/>
      <c r="HI81" s="104"/>
      <c r="HJ81" s="104"/>
      <c r="HK81" s="104"/>
      <c r="HL81" s="104"/>
      <c r="HM81" s="104"/>
      <c r="HN81" s="104"/>
      <c r="HO81" s="104"/>
      <c r="HP81" s="104"/>
      <c r="HQ81" s="104"/>
      <c r="HR81" s="104"/>
      <c r="HS81" s="104"/>
      <c r="HT81" s="104"/>
      <c r="HU81" s="104"/>
      <c r="HV81" s="104"/>
      <c r="HW81" s="104"/>
      <c r="HX81" s="104"/>
      <c r="HY81" s="104"/>
      <c r="HZ81" s="104"/>
      <c r="IA81" s="104"/>
      <c r="IB81" s="104"/>
      <c r="IC81" s="104"/>
      <c r="ID81" s="104"/>
      <c r="IE81" s="104"/>
      <c r="IF81" s="104"/>
      <c r="IG81" s="104"/>
      <c r="IH81" s="104"/>
      <c r="II81" s="104"/>
      <c r="IJ81" s="104"/>
      <c r="IK81" s="104"/>
      <c r="IL81" s="104"/>
      <c r="IM81" s="104"/>
      <c r="IN81" s="104"/>
      <c r="IO81" s="104"/>
      <c r="IP81" s="104"/>
      <c r="IQ81" s="104"/>
      <c r="IR81" s="104"/>
      <c r="IS81" s="104"/>
      <c r="IT81" s="104"/>
      <c r="IU81" s="104"/>
      <c r="IV81" s="104"/>
      <c r="IW81" s="104"/>
      <c r="IX81" s="104"/>
      <c r="IY81" s="104"/>
      <c r="IZ81" s="104"/>
      <c r="JA81" s="104"/>
    </row>
    <row r="82" spans="1:261" x14ac:dyDescent="0.2">
      <c r="A82" s="104"/>
      <c r="B82" s="104"/>
      <c r="C82" s="104"/>
      <c r="D82" s="104"/>
      <c r="E82" s="104"/>
      <c r="F82" s="104"/>
      <c r="G82" s="104"/>
      <c r="H82" s="104"/>
      <c r="I82" s="104"/>
      <c r="J82" s="151"/>
      <c r="K82" s="104"/>
      <c r="L82" s="104"/>
      <c r="M82" s="104"/>
      <c r="N82" s="151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04"/>
      <c r="EZ82" s="104"/>
      <c r="FA82" s="104"/>
      <c r="FB82" s="104"/>
      <c r="FC82" s="104"/>
      <c r="FD82" s="104"/>
      <c r="FE82" s="104"/>
      <c r="FF82" s="104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  <c r="HA82" s="104"/>
      <c r="HB82" s="104"/>
      <c r="HC82" s="104"/>
      <c r="HD82" s="104"/>
      <c r="HE82" s="104"/>
      <c r="HF82" s="104"/>
      <c r="HG82" s="104"/>
      <c r="HH82" s="104"/>
      <c r="HI82" s="104"/>
      <c r="HJ82" s="104"/>
      <c r="HK82" s="104"/>
      <c r="HL82" s="104"/>
      <c r="HM82" s="104"/>
      <c r="HN82" s="104"/>
      <c r="HO82" s="104"/>
      <c r="HP82" s="104"/>
      <c r="HQ82" s="104"/>
      <c r="HR82" s="104"/>
      <c r="HS82" s="104"/>
      <c r="HT82" s="104"/>
      <c r="HU82" s="104"/>
      <c r="HV82" s="104"/>
      <c r="HW82" s="104"/>
      <c r="HX82" s="104"/>
      <c r="HY82" s="104"/>
      <c r="HZ82" s="104"/>
      <c r="IA82" s="104"/>
      <c r="IB82" s="104"/>
      <c r="IC82" s="104"/>
      <c r="ID82" s="104"/>
      <c r="IE82" s="104"/>
      <c r="IF82" s="104"/>
      <c r="IG82" s="104"/>
      <c r="IH82" s="104"/>
      <c r="II82" s="104"/>
      <c r="IJ82" s="104"/>
      <c r="IK82" s="104"/>
      <c r="IL82" s="104"/>
      <c r="IM82" s="104"/>
      <c r="IN82" s="104"/>
      <c r="IO82" s="104"/>
      <c r="IP82" s="104"/>
      <c r="IQ82" s="104"/>
      <c r="IR82" s="104"/>
      <c r="IS82" s="104"/>
      <c r="IT82" s="104"/>
      <c r="IU82" s="104"/>
      <c r="IV82" s="104"/>
      <c r="IW82" s="104"/>
      <c r="IX82" s="104"/>
      <c r="IY82" s="104"/>
      <c r="IZ82" s="104"/>
      <c r="JA82" s="104"/>
    </row>
    <row r="83" spans="1:261" x14ac:dyDescent="0.2">
      <c r="A83" s="104"/>
      <c r="B83" s="104"/>
      <c r="C83" s="104"/>
      <c r="D83" s="104"/>
      <c r="E83" s="104"/>
      <c r="F83" s="104"/>
      <c r="G83" s="104"/>
      <c r="H83" s="104"/>
      <c r="I83" s="104"/>
      <c r="J83" s="151"/>
      <c r="K83" s="104"/>
      <c r="L83" s="104"/>
      <c r="M83" s="104"/>
      <c r="N83" s="151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4"/>
      <c r="IN83" s="104"/>
      <c r="IO83" s="104"/>
      <c r="IP83" s="104"/>
      <c r="IQ83" s="104"/>
      <c r="IR83" s="104"/>
      <c r="IS83" s="104"/>
      <c r="IT83" s="104"/>
      <c r="IU83" s="104"/>
      <c r="IV83" s="104"/>
      <c r="IW83" s="104"/>
      <c r="IX83" s="104"/>
      <c r="IY83" s="104"/>
      <c r="IZ83" s="104"/>
      <c r="JA83" s="104"/>
    </row>
    <row r="84" spans="1:261" x14ac:dyDescent="0.2">
      <c r="A84" s="104"/>
      <c r="B84" s="104"/>
      <c r="C84" s="104"/>
      <c r="D84" s="104"/>
      <c r="E84" s="104"/>
      <c r="F84" s="104"/>
      <c r="G84" s="104"/>
      <c r="H84" s="104"/>
      <c r="I84" s="104"/>
      <c r="J84" s="151"/>
      <c r="K84" s="104"/>
      <c r="L84" s="104"/>
      <c r="M84" s="104"/>
      <c r="N84" s="151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  <c r="IW84" s="104"/>
      <c r="IX84" s="104"/>
      <c r="IY84" s="104"/>
      <c r="IZ84" s="104"/>
      <c r="JA84" s="104"/>
    </row>
    <row r="85" spans="1:261" x14ac:dyDescent="0.2">
      <c r="A85" s="104"/>
      <c r="B85" s="104"/>
      <c r="C85" s="104"/>
      <c r="D85" s="104"/>
      <c r="E85" s="104"/>
      <c r="F85" s="104"/>
      <c r="G85" s="104"/>
      <c r="H85" s="104"/>
      <c r="I85" s="104"/>
      <c r="J85" s="151"/>
      <c r="K85" s="104"/>
      <c r="L85" s="104"/>
      <c r="M85" s="104"/>
      <c r="N85" s="151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  <c r="HO85" s="104"/>
      <c r="HP85" s="104"/>
      <c r="HQ85" s="104"/>
      <c r="HR85" s="104"/>
      <c r="HS85" s="104"/>
      <c r="HT85" s="104"/>
      <c r="HU85" s="104"/>
      <c r="HV85" s="104"/>
      <c r="HW85" s="104"/>
      <c r="HX85" s="104"/>
      <c r="HY85" s="104"/>
      <c r="HZ85" s="104"/>
      <c r="IA85" s="104"/>
      <c r="IB85" s="104"/>
      <c r="IC85" s="104"/>
      <c r="ID85" s="104"/>
      <c r="IE85" s="104"/>
      <c r="IF85" s="104"/>
      <c r="IG85" s="104"/>
      <c r="IH85" s="104"/>
      <c r="II85" s="104"/>
      <c r="IJ85" s="104"/>
      <c r="IK85" s="104"/>
      <c r="IL85" s="104"/>
      <c r="IM85" s="104"/>
      <c r="IN85" s="104"/>
      <c r="IO85" s="104"/>
      <c r="IP85" s="104"/>
      <c r="IQ85" s="104"/>
      <c r="IR85" s="104"/>
      <c r="IS85" s="104"/>
      <c r="IT85" s="104"/>
      <c r="IU85" s="104"/>
      <c r="IV85" s="104"/>
      <c r="IW85" s="104"/>
      <c r="IX85" s="104"/>
      <c r="IY85" s="104"/>
      <c r="IZ85" s="104"/>
      <c r="JA85" s="104"/>
    </row>
    <row r="86" spans="1:261" x14ac:dyDescent="0.2">
      <c r="A86" s="104"/>
      <c r="B86" s="104"/>
      <c r="C86" s="104"/>
      <c r="D86" s="104"/>
      <c r="E86" s="104"/>
      <c r="F86" s="104"/>
      <c r="G86" s="104"/>
      <c r="H86" s="104"/>
      <c r="I86" s="104"/>
      <c r="J86" s="151"/>
      <c r="K86" s="104"/>
      <c r="L86" s="104"/>
      <c r="M86" s="104"/>
      <c r="N86" s="151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  <c r="IW86" s="104"/>
      <c r="IX86" s="104"/>
      <c r="IY86" s="104"/>
      <c r="IZ86" s="104"/>
      <c r="JA86" s="104"/>
    </row>
    <row r="87" spans="1:261" x14ac:dyDescent="0.2">
      <c r="A87" s="104"/>
      <c r="B87" s="104"/>
      <c r="C87" s="104"/>
      <c r="D87" s="104"/>
      <c r="E87" s="104"/>
      <c r="F87" s="104"/>
      <c r="G87" s="104"/>
      <c r="H87" s="104"/>
      <c r="I87" s="104"/>
      <c r="J87" s="151"/>
      <c r="K87" s="104"/>
      <c r="L87" s="104"/>
      <c r="M87" s="104"/>
      <c r="N87" s="151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  <c r="HO87" s="104"/>
      <c r="HP87" s="104"/>
      <c r="HQ87" s="104"/>
      <c r="HR87" s="104"/>
      <c r="HS87" s="104"/>
      <c r="HT87" s="104"/>
      <c r="HU87" s="104"/>
      <c r="HV87" s="104"/>
      <c r="HW87" s="104"/>
      <c r="HX87" s="104"/>
      <c r="HY87" s="104"/>
      <c r="HZ87" s="104"/>
      <c r="IA87" s="104"/>
      <c r="IB87" s="104"/>
      <c r="IC87" s="104"/>
      <c r="ID87" s="104"/>
      <c r="IE87" s="104"/>
      <c r="IF87" s="104"/>
      <c r="IG87" s="104"/>
      <c r="IH87" s="104"/>
      <c r="II87" s="104"/>
      <c r="IJ87" s="104"/>
      <c r="IK87" s="104"/>
      <c r="IL87" s="104"/>
      <c r="IM87" s="104"/>
      <c r="IN87" s="104"/>
      <c r="IO87" s="104"/>
      <c r="IP87" s="104"/>
      <c r="IQ87" s="104"/>
      <c r="IR87" s="104"/>
      <c r="IS87" s="104"/>
      <c r="IT87" s="104"/>
      <c r="IU87" s="104"/>
      <c r="IV87" s="104"/>
      <c r="IW87" s="104"/>
      <c r="IX87" s="104"/>
      <c r="IY87" s="104"/>
      <c r="IZ87" s="104"/>
      <c r="JA87" s="104"/>
    </row>
    <row r="88" spans="1:261" x14ac:dyDescent="0.2">
      <c r="A88" s="104"/>
      <c r="B88" s="104"/>
      <c r="C88" s="104"/>
      <c r="D88" s="104"/>
      <c r="E88" s="104"/>
      <c r="F88" s="104"/>
      <c r="G88" s="104"/>
      <c r="H88" s="104"/>
      <c r="I88" s="104"/>
      <c r="J88" s="151"/>
      <c r="K88" s="104"/>
      <c r="L88" s="104"/>
      <c r="M88" s="104"/>
      <c r="N88" s="151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  <c r="FA88" s="104"/>
      <c r="FB88" s="104"/>
      <c r="FC88" s="104"/>
      <c r="FD88" s="104"/>
      <c r="FE88" s="104"/>
      <c r="FF88" s="104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  <c r="HA88" s="104"/>
      <c r="HB88" s="104"/>
      <c r="HC88" s="104"/>
      <c r="HD88" s="104"/>
      <c r="HE88" s="104"/>
      <c r="HF88" s="104"/>
      <c r="HG88" s="104"/>
      <c r="HH88" s="104"/>
      <c r="HI88" s="104"/>
      <c r="HJ88" s="104"/>
      <c r="HK88" s="104"/>
      <c r="HL88" s="104"/>
      <c r="HM88" s="104"/>
      <c r="HN88" s="104"/>
      <c r="HO88" s="104"/>
      <c r="HP88" s="104"/>
      <c r="HQ88" s="104"/>
      <c r="HR88" s="104"/>
      <c r="HS88" s="104"/>
      <c r="HT88" s="104"/>
      <c r="HU88" s="104"/>
      <c r="HV88" s="104"/>
      <c r="HW88" s="104"/>
      <c r="HX88" s="104"/>
      <c r="HY88" s="104"/>
      <c r="HZ88" s="104"/>
      <c r="IA88" s="104"/>
      <c r="IB88" s="104"/>
      <c r="IC88" s="104"/>
      <c r="ID88" s="104"/>
      <c r="IE88" s="104"/>
      <c r="IF88" s="104"/>
      <c r="IG88" s="104"/>
      <c r="IH88" s="104"/>
      <c r="II88" s="104"/>
      <c r="IJ88" s="104"/>
      <c r="IK88" s="104"/>
      <c r="IL88" s="104"/>
      <c r="IM88" s="104"/>
      <c r="IN88" s="104"/>
      <c r="IO88" s="104"/>
      <c r="IP88" s="104"/>
      <c r="IQ88" s="104"/>
      <c r="IR88" s="104"/>
      <c r="IS88" s="104"/>
      <c r="IT88" s="104"/>
      <c r="IU88" s="104"/>
      <c r="IV88" s="104"/>
      <c r="IW88" s="104"/>
      <c r="IX88" s="104"/>
      <c r="IY88" s="104"/>
      <c r="IZ88" s="104"/>
      <c r="JA88" s="104"/>
    </row>
    <row r="89" spans="1:261" x14ac:dyDescent="0.2">
      <c r="A89" s="104"/>
      <c r="B89" s="104"/>
      <c r="C89" s="104"/>
      <c r="D89" s="104"/>
      <c r="E89" s="104"/>
      <c r="F89" s="104"/>
      <c r="G89" s="104"/>
      <c r="H89" s="104"/>
      <c r="I89" s="104"/>
      <c r="J89" s="151"/>
      <c r="K89" s="104"/>
      <c r="L89" s="104"/>
      <c r="M89" s="104"/>
      <c r="N89" s="151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  <c r="HO89" s="104"/>
      <c r="HP89" s="104"/>
      <c r="HQ89" s="104"/>
      <c r="HR89" s="104"/>
      <c r="HS89" s="104"/>
      <c r="HT89" s="104"/>
      <c r="HU89" s="104"/>
      <c r="HV89" s="104"/>
      <c r="HW89" s="104"/>
      <c r="HX89" s="104"/>
      <c r="HY89" s="104"/>
      <c r="HZ89" s="104"/>
      <c r="IA89" s="104"/>
      <c r="IB89" s="104"/>
      <c r="IC89" s="104"/>
      <c r="ID89" s="104"/>
      <c r="IE89" s="104"/>
      <c r="IF89" s="104"/>
      <c r="IG89" s="104"/>
      <c r="IH89" s="104"/>
      <c r="II89" s="104"/>
      <c r="IJ89" s="104"/>
      <c r="IK89" s="104"/>
      <c r="IL89" s="104"/>
      <c r="IM89" s="104"/>
      <c r="IN89" s="104"/>
      <c r="IO89" s="104"/>
      <c r="IP89" s="104"/>
      <c r="IQ89" s="104"/>
      <c r="IR89" s="104"/>
      <c r="IS89" s="104"/>
      <c r="IT89" s="104"/>
      <c r="IU89" s="104"/>
      <c r="IV89" s="104"/>
      <c r="IW89" s="104"/>
      <c r="IX89" s="104"/>
      <c r="IY89" s="104"/>
      <c r="IZ89" s="104"/>
      <c r="JA89" s="104"/>
    </row>
    <row r="90" spans="1:261" x14ac:dyDescent="0.2">
      <c r="A90" s="104"/>
      <c r="B90" s="104"/>
      <c r="C90" s="104"/>
      <c r="D90" s="104"/>
      <c r="E90" s="104"/>
      <c r="F90" s="104"/>
      <c r="G90" s="104"/>
      <c r="H90" s="104"/>
      <c r="I90" s="104"/>
      <c r="J90" s="151"/>
      <c r="K90" s="104"/>
      <c r="L90" s="104"/>
      <c r="M90" s="104"/>
      <c r="N90" s="151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  <c r="HJ90" s="104"/>
      <c r="HK90" s="104"/>
      <c r="HL90" s="104"/>
      <c r="HM90" s="104"/>
      <c r="HN90" s="104"/>
      <c r="HO90" s="104"/>
      <c r="HP90" s="104"/>
      <c r="HQ90" s="104"/>
      <c r="HR90" s="104"/>
      <c r="HS90" s="104"/>
      <c r="HT90" s="104"/>
      <c r="HU90" s="104"/>
      <c r="HV90" s="104"/>
      <c r="HW90" s="104"/>
      <c r="HX90" s="104"/>
      <c r="HY90" s="104"/>
      <c r="HZ90" s="104"/>
      <c r="IA90" s="104"/>
      <c r="IB90" s="104"/>
      <c r="IC90" s="104"/>
      <c r="ID90" s="104"/>
      <c r="IE90" s="104"/>
      <c r="IF90" s="104"/>
      <c r="IG90" s="104"/>
      <c r="IH90" s="104"/>
      <c r="II90" s="104"/>
      <c r="IJ90" s="104"/>
      <c r="IK90" s="104"/>
      <c r="IL90" s="104"/>
      <c r="IM90" s="104"/>
      <c r="IN90" s="104"/>
      <c r="IO90" s="104"/>
      <c r="IP90" s="104"/>
      <c r="IQ90" s="104"/>
      <c r="IR90" s="104"/>
      <c r="IS90" s="104"/>
      <c r="IT90" s="104"/>
      <c r="IU90" s="104"/>
      <c r="IV90" s="104"/>
      <c r="IW90" s="104"/>
      <c r="IX90" s="104"/>
      <c r="IY90" s="104"/>
      <c r="IZ90" s="104"/>
      <c r="JA90" s="104"/>
    </row>
    <row r="91" spans="1:261" x14ac:dyDescent="0.2">
      <c r="A91" s="104"/>
      <c r="B91" s="104"/>
      <c r="C91" s="104"/>
      <c r="D91" s="104"/>
      <c r="E91" s="104"/>
      <c r="F91" s="104"/>
      <c r="G91" s="104"/>
      <c r="H91" s="104"/>
      <c r="I91" s="104"/>
      <c r="J91" s="151"/>
      <c r="K91" s="104"/>
      <c r="L91" s="104"/>
      <c r="M91" s="104"/>
      <c r="N91" s="151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  <c r="HA91" s="104"/>
      <c r="HB91" s="104"/>
      <c r="HC91" s="104"/>
      <c r="HD91" s="104"/>
      <c r="HE91" s="104"/>
      <c r="HF91" s="104"/>
      <c r="HG91" s="104"/>
      <c r="HH91" s="104"/>
      <c r="HI91" s="104"/>
      <c r="HJ91" s="104"/>
      <c r="HK91" s="104"/>
      <c r="HL91" s="104"/>
      <c r="HM91" s="104"/>
      <c r="HN91" s="104"/>
      <c r="HO91" s="104"/>
      <c r="HP91" s="104"/>
      <c r="HQ91" s="104"/>
      <c r="HR91" s="104"/>
      <c r="HS91" s="104"/>
      <c r="HT91" s="104"/>
      <c r="HU91" s="104"/>
      <c r="HV91" s="104"/>
      <c r="HW91" s="104"/>
      <c r="HX91" s="104"/>
      <c r="HY91" s="104"/>
      <c r="HZ91" s="104"/>
      <c r="IA91" s="104"/>
      <c r="IB91" s="104"/>
      <c r="IC91" s="104"/>
      <c r="ID91" s="104"/>
      <c r="IE91" s="104"/>
      <c r="IF91" s="104"/>
      <c r="IG91" s="104"/>
      <c r="IH91" s="104"/>
      <c r="II91" s="104"/>
      <c r="IJ91" s="104"/>
      <c r="IK91" s="104"/>
      <c r="IL91" s="104"/>
      <c r="IM91" s="104"/>
      <c r="IN91" s="104"/>
      <c r="IO91" s="104"/>
      <c r="IP91" s="104"/>
      <c r="IQ91" s="104"/>
      <c r="IR91" s="104"/>
      <c r="IS91" s="104"/>
      <c r="IT91" s="104"/>
      <c r="IU91" s="104"/>
      <c r="IV91" s="104"/>
      <c r="IW91" s="104"/>
      <c r="IX91" s="104"/>
      <c r="IY91" s="104"/>
      <c r="IZ91" s="104"/>
      <c r="JA91" s="104"/>
    </row>
    <row r="92" spans="1:261" x14ac:dyDescent="0.2">
      <c r="A92" s="104"/>
      <c r="B92" s="104"/>
      <c r="C92" s="104"/>
      <c r="D92" s="104"/>
      <c r="E92" s="104"/>
      <c r="F92" s="104"/>
      <c r="G92" s="104"/>
      <c r="H92" s="104"/>
      <c r="I92" s="104"/>
      <c r="J92" s="151"/>
      <c r="K92" s="104"/>
      <c r="L92" s="104"/>
      <c r="M92" s="104"/>
      <c r="N92" s="151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  <c r="HA92" s="104"/>
      <c r="HB92" s="104"/>
      <c r="HC92" s="104"/>
      <c r="HD92" s="104"/>
      <c r="HE92" s="104"/>
      <c r="HF92" s="104"/>
      <c r="HG92" s="104"/>
      <c r="HH92" s="104"/>
      <c r="HI92" s="104"/>
      <c r="HJ92" s="104"/>
      <c r="HK92" s="104"/>
      <c r="HL92" s="104"/>
      <c r="HM92" s="104"/>
      <c r="HN92" s="104"/>
      <c r="HO92" s="104"/>
      <c r="HP92" s="104"/>
      <c r="HQ92" s="104"/>
      <c r="HR92" s="104"/>
      <c r="HS92" s="104"/>
      <c r="HT92" s="104"/>
      <c r="HU92" s="104"/>
      <c r="HV92" s="104"/>
      <c r="HW92" s="104"/>
      <c r="HX92" s="104"/>
      <c r="HY92" s="104"/>
      <c r="HZ92" s="104"/>
      <c r="IA92" s="104"/>
      <c r="IB92" s="104"/>
      <c r="IC92" s="104"/>
      <c r="ID92" s="104"/>
      <c r="IE92" s="104"/>
      <c r="IF92" s="104"/>
      <c r="IG92" s="104"/>
      <c r="IH92" s="104"/>
      <c r="II92" s="104"/>
      <c r="IJ92" s="104"/>
      <c r="IK92" s="104"/>
      <c r="IL92" s="104"/>
      <c r="IM92" s="104"/>
      <c r="IN92" s="104"/>
      <c r="IO92" s="104"/>
      <c r="IP92" s="104"/>
      <c r="IQ92" s="104"/>
      <c r="IR92" s="104"/>
      <c r="IS92" s="104"/>
      <c r="IT92" s="104"/>
      <c r="IU92" s="104"/>
      <c r="IV92" s="104"/>
      <c r="IW92" s="104"/>
      <c r="IX92" s="104"/>
      <c r="IY92" s="104"/>
      <c r="IZ92" s="104"/>
      <c r="JA92" s="104"/>
    </row>
    <row r="93" spans="1:261" x14ac:dyDescent="0.2">
      <c r="A93" s="104"/>
      <c r="B93" s="104"/>
      <c r="C93" s="104"/>
      <c r="D93" s="104"/>
      <c r="E93" s="104"/>
      <c r="F93" s="104"/>
      <c r="G93" s="104"/>
      <c r="H93" s="104"/>
      <c r="I93" s="104"/>
      <c r="J93" s="151"/>
      <c r="K93" s="104"/>
      <c r="L93" s="104"/>
      <c r="M93" s="104"/>
      <c r="N93" s="151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04"/>
      <c r="EZ93" s="104"/>
      <c r="FA93" s="104"/>
      <c r="FB93" s="104"/>
      <c r="FC93" s="104"/>
      <c r="FD93" s="104"/>
      <c r="FE93" s="104"/>
      <c r="FF93" s="104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  <c r="HA93" s="104"/>
      <c r="HB93" s="104"/>
      <c r="HC93" s="104"/>
      <c r="HD93" s="104"/>
      <c r="HE93" s="104"/>
      <c r="HF93" s="104"/>
      <c r="HG93" s="104"/>
      <c r="HH93" s="104"/>
      <c r="HI93" s="104"/>
      <c r="HJ93" s="104"/>
      <c r="HK93" s="104"/>
      <c r="HL93" s="104"/>
      <c r="HM93" s="104"/>
      <c r="HN93" s="104"/>
      <c r="HO93" s="104"/>
      <c r="HP93" s="104"/>
      <c r="HQ93" s="104"/>
      <c r="HR93" s="104"/>
      <c r="HS93" s="104"/>
      <c r="HT93" s="104"/>
      <c r="HU93" s="104"/>
      <c r="HV93" s="104"/>
      <c r="HW93" s="104"/>
      <c r="HX93" s="104"/>
      <c r="HY93" s="104"/>
      <c r="HZ93" s="104"/>
      <c r="IA93" s="104"/>
      <c r="IB93" s="104"/>
      <c r="IC93" s="104"/>
      <c r="ID93" s="104"/>
      <c r="IE93" s="104"/>
      <c r="IF93" s="104"/>
      <c r="IG93" s="104"/>
      <c r="IH93" s="104"/>
      <c r="II93" s="104"/>
      <c r="IJ93" s="104"/>
      <c r="IK93" s="104"/>
      <c r="IL93" s="104"/>
      <c r="IM93" s="104"/>
      <c r="IN93" s="104"/>
      <c r="IO93" s="104"/>
      <c r="IP93" s="104"/>
      <c r="IQ93" s="104"/>
      <c r="IR93" s="104"/>
      <c r="IS93" s="104"/>
      <c r="IT93" s="104"/>
      <c r="IU93" s="104"/>
      <c r="IV93" s="104"/>
      <c r="IW93" s="104"/>
      <c r="IX93" s="104"/>
      <c r="IY93" s="104"/>
      <c r="IZ93" s="104"/>
      <c r="JA93" s="104"/>
    </row>
    <row r="94" spans="1:261" x14ac:dyDescent="0.2">
      <c r="A94" s="104"/>
      <c r="B94" s="104"/>
      <c r="C94" s="104"/>
      <c r="D94" s="104"/>
      <c r="E94" s="104"/>
      <c r="F94" s="104"/>
      <c r="G94" s="104"/>
      <c r="H94" s="104"/>
      <c r="I94" s="104"/>
      <c r="J94" s="151"/>
      <c r="K94" s="104"/>
      <c r="L94" s="104"/>
      <c r="M94" s="104"/>
      <c r="N94" s="151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  <c r="HO94" s="104"/>
      <c r="HP94" s="104"/>
      <c r="HQ94" s="104"/>
      <c r="HR94" s="104"/>
      <c r="HS94" s="104"/>
      <c r="HT94" s="104"/>
      <c r="HU94" s="104"/>
      <c r="HV94" s="104"/>
      <c r="HW94" s="104"/>
      <c r="HX94" s="104"/>
      <c r="HY94" s="104"/>
      <c r="HZ94" s="104"/>
      <c r="IA94" s="104"/>
      <c r="IB94" s="104"/>
      <c r="IC94" s="104"/>
      <c r="ID94" s="104"/>
      <c r="IE94" s="104"/>
      <c r="IF94" s="104"/>
      <c r="IG94" s="104"/>
      <c r="IH94" s="104"/>
      <c r="II94" s="104"/>
      <c r="IJ94" s="104"/>
      <c r="IK94" s="104"/>
      <c r="IL94" s="104"/>
      <c r="IM94" s="104"/>
      <c r="IN94" s="104"/>
      <c r="IO94" s="104"/>
      <c r="IP94" s="104"/>
      <c r="IQ94" s="104"/>
      <c r="IR94" s="104"/>
      <c r="IS94" s="104"/>
      <c r="IT94" s="104"/>
      <c r="IU94" s="104"/>
      <c r="IV94" s="104"/>
      <c r="IW94" s="104"/>
      <c r="IX94" s="104"/>
      <c r="IY94" s="104"/>
      <c r="IZ94" s="104"/>
      <c r="JA94" s="104"/>
    </row>
    <row r="95" spans="1:261" x14ac:dyDescent="0.2">
      <c r="A95" s="104"/>
      <c r="B95" s="104"/>
      <c r="C95" s="104"/>
      <c r="D95" s="104"/>
      <c r="E95" s="104"/>
      <c r="F95" s="104"/>
      <c r="G95" s="104"/>
      <c r="H95" s="104"/>
      <c r="I95" s="104"/>
      <c r="J95" s="151"/>
      <c r="K95" s="104"/>
      <c r="L95" s="104"/>
      <c r="M95" s="104"/>
      <c r="N95" s="151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  <c r="HW95" s="104"/>
      <c r="HX95" s="104"/>
      <c r="HY95" s="104"/>
      <c r="HZ95" s="104"/>
      <c r="IA95" s="104"/>
      <c r="IB95" s="104"/>
      <c r="IC95" s="104"/>
      <c r="ID95" s="104"/>
      <c r="IE95" s="104"/>
      <c r="IF95" s="104"/>
      <c r="IG95" s="104"/>
      <c r="IH95" s="104"/>
      <c r="II95" s="104"/>
      <c r="IJ95" s="104"/>
      <c r="IK95" s="104"/>
      <c r="IL95" s="104"/>
      <c r="IM95" s="104"/>
      <c r="IN95" s="104"/>
      <c r="IO95" s="104"/>
      <c r="IP95" s="104"/>
      <c r="IQ95" s="104"/>
      <c r="IR95" s="104"/>
      <c r="IS95" s="104"/>
      <c r="IT95" s="104"/>
      <c r="IU95" s="104"/>
      <c r="IV95" s="104"/>
      <c r="IW95" s="104"/>
      <c r="IX95" s="104"/>
      <c r="IY95" s="104"/>
      <c r="IZ95" s="104"/>
      <c r="JA95" s="104"/>
    </row>
    <row r="96" spans="1:261" x14ac:dyDescent="0.2">
      <c r="A96" s="104"/>
      <c r="B96" s="104"/>
      <c r="C96" s="104"/>
      <c r="D96" s="104"/>
      <c r="E96" s="104"/>
      <c r="F96" s="104"/>
      <c r="G96" s="104"/>
      <c r="H96" s="104"/>
      <c r="I96" s="104"/>
      <c r="J96" s="151"/>
      <c r="K96" s="104"/>
      <c r="L96" s="104"/>
      <c r="M96" s="104"/>
      <c r="N96" s="151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  <c r="HL96" s="104"/>
      <c r="HM96" s="104"/>
      <c r="HN96" s="104"/>
      <c r="HO96" s="104"/>
      <c r="HP96" s="104"/>
      <c r="HQ96" s="104"/>
      <c r="HR96" s="104"/>
      <c r="HS96" s="104"/>
      <c r="HT96" s="104"/>
      <c r="HU96" s="104"/>
      <c r="HV96" s="104"/>
      <c r="HW96" s="104"/>
      <c r="HX96" s="104"/>
      <c r="HY96" s="104"/>
      <c r="HZ96" s="104"/>
      <c r="IA96" s="104"/>
      <c r="IB96" s="104"/>
      <c r="IC96" s="104"/>
      <c r="ID96" s="104"/>
      <c r="IE96" s="104"/>
      <c r="IF96" s="104"/>
      <c r="IG96" s="104"/>
      <c r="IH96" s="104"/>
      <c r="II96" s="104"/>
      <c r="IJ96" s="104"/>
      <c r="IK96" s="104"/>
      <c r="IL96" s="104"/>
      <c r="IM96" s="104"/>
      <c r="IN96" s="104"/>
      <c r="IO96" s="104"/>
      <c r="IP96" s="104"/>
      <c r="IQ96" s="104"/>
      <c r="IR96" s="104"/>
      <c r="IS96" s="104"/>
      <c r="IT96" s="104"/>
      <c r="IU96" s="104"/>
      <c r="IV96" s="104"/>
      <c r="IW96" s="104"/>
      <c r="IX96" s="104"/>
      <c r="IY96" s="104"/>
      <c r="IZ96" s="104"/>
      <c r="JA96" s="104"/>
    </row>
    <row r="97" spans="1:261" x14ac:dyDescent="0.2">
      <c r="A97" s="104"/>
      <c r="B97" s="104"/>
      <c r="C97" s="104"/>
      <c r="D97" s="104"/>
      <c r="E97" s="104"/>
      <c r="F97" s="104"/>
      <c r="G97" s="104"/>
      <c r="H97" s="104"/>
      <c r="I97" s="104"/>
      <c r="J97" s="151"/>
      <c r="K97" s="104"/>
      <c r="L97" s="104"/>
      <c r="M97" s="104"/>
      <c r="N97" s="151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  <c r="HL97" s="104"/>
      <c r="HM97" s="104"/>
      <c r="HN97" s="104"/>
      <c r="HO97" s="104"/>
      <c r="HP97" s="104"/>
      <c r="HQ97" s="104"/>
      <c r="HR97" s="104"/>
      <c r="HS97" s="104"/>
      <c r="HT97" s="104"/>
      <c r="HU97" s="104"/>
      <c r="HV97" s="104"/>
      <c r="HW97" s="104"/>
      <c r="HX97" s="104"/>
      <c r="HY97" s="104"/>
      <c r="HZ97" s="104"/>
      <c r="IA97" s="104"/>
      <c r="IB97" s="104"/>
      <c r="IC97" s="104"/>
      <c r="ID97" s="104"/>
      <c r="IE97" s="104"/>
      <c r="IF97" s="104"/>
      <c r="IG97" s="104"/>
      <c r="IH97" s="104"/>
      <c r="II97" s="104"/>
      <c r="IJ97" s="104"/>
      <c r="IK97" s="104"/>
      <c r="IL97" s="104"/>
      <c r="IM97" s="104"/>
      <c r="IN97" s="104"/>
      <c r="IO97" s="104"/>
      <c r="IP97" s="104"/>
      <c r="IQ97" s="104"/>
      <c r="IR97" s="104"/>
      <c r="IS97" s="104"/>
      <c r="IT97" s="104"/>
      <c r="IU97" s="104"/>
      <c r="IV97" s="104"/>
      <c r="IW97" s="104"/>
      <c r="IX97" s="104"/>
      <c r="IY97" s="104"/>
      <c r="IZ97" s="104"/>
      <c r="JA97" s="104"/>
    </row>
    <row r="98" spans="1:261" x14ac:dyDescent="0.2">
      <c r="A98" s="104"/>
      <c r="B98" s="104"/>
      <c r="C98" s="104"/>
      <c r="D98" s="104"/>
      <c r="E98" s="104"/>
      <c r="F98" s="104"/>
      <c r="G98" s="104"/>
      <c r="H98" s="104"/>
      <c r="I98" s="104"/>
      <c r="J98" s="151"/>
      <c r="K98" s="104"/>
      <c r="L98" s="104"/>
      <c r="M98" s="104"/>
      <c r="N98" s="151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  <c r="FA98" s="104"/>
      <c r="FB98" s="104"/>
      <c r="FC98" s="104"/>
      <c r="FD98" s="104"/>
      <c r="FE98" s="104"/>
      <c r="FF98" s="104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  <c r="HJ98" s="104"/>
      <c r="HK98" s="104"/>
      <c r="HL98" s="104"/>
      <c r="HM98" s="104"/>
      <c r="HN98" s="104"/>
      <c r="HO98" s="104"/>
      <c r="HP98" s="104"/>
      <c r="HQ98" s="104"/>
      <c r="HR98" s="104"/>
      <c r="HS98" s="104"/>
      <c r="HT98" s="104"/>
      <c r="HU98" s="104"/>
      <c r="HV98" s="104"/>
      <c r="HW98" s="104"/>
      <c r="HX98" s="104"/>
      <c r="HY98" s="104"/>
      <c r="HZ98" s="104"/>
      <c r="IA98" s="104"/>
      <c r="IB98" s="104"/>
      <c r="IC98" s="104"/>
      <c r="ID98" s="104"/>
      <c r="IE98" s="104"/>
      <c r="IF98" s="104"/>
      <c r="IG98" s="104"/>
      <c r="IH98" s="104"/>
      <c r="II98" s="104"/>
      <c r="IJ98" s="104"/>
      <c r="IK98" s="104"/>
      <c r="IL98" s="104"/>
      <c r="IM98" s="104"/>
      <c r="IN98" s="104"/>
      <c r="IO98" s="104"/>
      <c r="IP98" s="104"/>
      <c r="IQ98" s="104"/>
      <c r="IR98" s="104"/>
      <c r="IS98" s="104"/>
      <c r="IT98" s="104"/>
      <c r="IU98" s="104"/>
      <c r="IV98" s="104"/>
      <c r="IW98" s="104"/>
      <c r="IX98" s="104"/>
      <c r="IY98" s="104"/>
      <c r="IZ98" s="104"/>
      <c r="JA98" s="104"/>
    </row>
    <row r="99" spans="1:261" x14ac:dyDescent="0.2">
      <c r="A99" s="104"/>
      <c r="B99" s="104"/>
      <c r="C99" s="104"/>
      <c r="D99" s="104"/>
      <c r="E99" s="104"/>
      <c r="F99" s="104"/>
      <c r="G99" s="104"/>
      <c r="H99" s="104"/>
      <c r="I99" s="104"/>
      <c r="J99" s="151"/>
      <c r="K99" s="104"/>
      <c r="L99" s="104"/>
      <c r="M99" s="104"/>
      <c r="N99" s="151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  <c r="FA99" s="104"/>
      <c r="FB99" s="104"/>
      <c r="FC99" s="104"/>
      <c r="FD99" s="104"/>
      <c r="FE99" s="104"/>
      <c r="FF99" s="104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  <c r="HA99" s="104"/>
      <c r="HB99" s="104"/>
      <c r="HC99" s="104"/>
      <c r="HD99" s="104"/>
      <c r="HE99" s="104"/>
      <c r="HF99" s="104"/>
      <c r="HG99" s="104"/>
      <c r="HH99" s="104"/>
      <c r="HI99" s="104"/>
      <c r="HJ99" s="104"/>
      <c r="HK99" s="104"/>
      <c r="HL99" s="104"/>
      <c r="HM99" s="104"/>
      <c r="HN99" s="104"/>
      <c r="HO99" s="104"/>
      <c r="HP99" s="104"/>
      <c r="HQ99" s="104"/>
      <c r="HR99" s="104"/>
      <c r="HS99" s="104"/>
      <c r="HT99" s="104"/>
      <c r="HU99" s="104"/>
      <c r="HV99" s="104"/>
      <c r="HW99" s="104"/>
      <c r="HX99" s="104"/>
      <c r="HY99" s="104"/>
      <c r="HZ99" s="104"/>
      <c r="IA99" s="104"/>
      <c r="IB99" s="104"/>
      <c r="IC99" s="104"/>
      <c r="ID99" s="104"/>
      <c r="IE99" s="104"/>
      <c r="IF99" s="104"/>
      <c r="IG99" s="104"/>
      <c r="IH99" s="104"/>
      <c r="II99" s="104"/>
      <c r="IJ99" s="104"/>
      <c r="IK99" s="104"/>
      <c r="IL99" s="104"/>
      <c r="IM99" s="104"/>
      <c r="IN99" s="104"/>
      <c r="IO99" s="104"/>
      <c r="IP99" s="104"/>
      <c r="IQ99" s="104"/>
      <c r="IR99" s="104"/>
      <c r="IS99" s="104"/>
      <c r="IT99" s="104"/>
      <c r="IU99" s="104"/>
      <c r="IV99" s="104"/>
      <c r="IW99" s="104"/>
      <c r="IX99" s="104"/>
      <c r="IY99" s="104"/>
      <c r="IZ99" s="104"/>
      <c r="JA99" s="104"/>
    </row>
    <row r="100" spans="1:261" x14ac:dyDescent="0.2">
      <c r="A100" s="104"/>
      <c r="B100" s="104"/>
      <c r="C100" s="104"/>
      <c r="D100" s="104"/>
      <c r="E100" s="104"/>
      <c r="F100" s="104"/>
      <c r="G100" s="104"/>
      <c r="H100" s="104"/>
      <c r="I100" s="104"/>
      <c r="J100" s="151"/>
      <c r="K100" s="104"/>
      <c r="L100" s="104"/>
      <c r="M100" s="104"/>
      <c r="N100" s="151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  <c r="FA100" s="104"/>
      <c r="FB100" s="104"/>
      <c r="FC100" s="104"/>
      <c r="FD100" s="104"/>
      <c r="FE100" s="104"/>
      <c r="FF100" s="104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  <c r="HA100" s="104"/>
      <c r="HB100" s="104"/>
      <c r="HC100" s="104"/>
      <c r="HD100" s="104"/>
      <c r="HE100" s="104"/>
      <c r="HF100" s="104"/>
      <c r="HG100" s="104"/>
      <c r="HH100" s="104"/>
      <c r="HI100" s="104"/>
      <c r="HJ100" s="104"/>
      <c r="HK100" s="104"/>
      <c r="HL100" s="104"/>
      <c r="HM100" s="104"/>
      <c r="HN100" s="104"/>
      <c r="HO100" s="104"/>
      <c r="HP100" s="104"/>
      <c r="HQ100" s="104"/>
      <c r="HR100" s="104"/>
      <c r="HS100" s="104"/>
      <c r="HT100" s="104"/>
      <c r="HU100" s="104"/>
      <c r="HV100" s="104"/>
      <c r="HW100" s="104"/>
      <c r="HX100" s="104"/>
      <c r="HY100" s="104"/>
      <c r="HZ100" s="104"/>
      <c r="IA100" s="104"/>
      <c r="IB100" s="104"/>
      <c r="IC100" s="104"/>
      <c r="ID100" s="104"/>
      <c r="IE100" s="104"/>
      <c r="IF100" s="104"/>
      <c r="IG100" s="104"/>
      <c r="IH100" s="104"/>
      <c r="II100" s="104"/>
      <c r="IJ100" s="104"/>
      <c r="IK100" s="104"/>
      <c r="IL100" s="104"/>
      <c r="IM100" s="104"/>
      <c r="IN100" s="104"/>
      <c r="IO100" s="104"/>
      <c r="IP100" s="104"/>
      <c r="IQ100" s="104"/>
      <c r="IR100" s="104"/>
      <c r="IS100" s="104"/>
      <c r="IT100" s="104"/>
      <c r="IU100" s="104"/>
      <c r="IV100" s="104"/>
      <c r="IW100" s="104"/>
      <c r="IX100" s="104"/>
      <c r="IY100" s="104"/>
      <c r="IZ100" s="104"/>
      <c r="JA100" s="104"/>
    </row>
    <row r="101" spans="1:261" x14ac:dyDescent="0.2">
      <c r="A101" s="104"/>
      <c r="B101" s="104"/>
      <c r="C101" s="104"/>
      <c r="D101" s="104"/>
      <c r="E101" s="104"/>
      <c r="F101" s="104"/>
      <c r="G101" s="104"/>
      <c r="H101" s="104"/>
      <c r="I101" s="104"/>
      <c r="J101" s="151"/>
      <c r="K101" s="104"/>
      <c r="L101" s="104"/>
      <c r="M101" s="104"/>
      <c r="N101" s="151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  <c r="FA101" s="104"/>
      <c r="FB101" s="104"/>
      <c r="FC101" s="104"/>
      <c r="FD101" s="104"/>
      <c r="FE101" s="104"/>
      <c r="FF101" s="104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  <c r="HA101" s="104"/>
      <c r="HB101" s="104"/>
      <c r="HC101" s="104"/>
      <c r="HD101" s="104"/>
      <c r="HE101" s="104"/>
      <c r="HF101" s="104"/>
      <c r="HG101" s="104"/>
      <c r="HH101" s="104"/>
      <c r="HI101" s="104"/>
      <c r="HJ101" s="104"/>
      <c r="HK101" s="104"/>
      <c r="HL101" s="104"/>
      <c r="HM101" s="104"/>
      <c r="HN101" s="104"/>
      <c r="HO101" s="104"/>
      <c r="HP101" s="104"/>
      <c r="HQ101" s="104"/>
      <c r="HR101" s="104"/>
      <c r="HS101" s="104"/>
      <c r="HT101" s="104"/>
      <c r="HU101" s="104"/>
      <c r="HV101" s="104"/>
      <c r="HW101" s="104"/>
      <c r="HX101" s="104"/>
      <c r="HY101" s="104"/>
      <c r="HZ101" s="104"/>
      <c r="IA101" s="104"/>
      <c r="IB101" s="104"/>
      <c r="IC101" s="104"/>
      <c r="ID101" s="104"/>
      <c r="IE101" s="104"/>
      <c r="IF101" s="104"/>
      <c r="IG101" s="104"/>
      <c r="IH101" s="104"/>
      <c r="II101" s="104"/>
      <c r="IJ101" s="104"/>
      <c r="IK101" s="104"/>
      <c r="IL101" s="104"/>
      <c r="IM101" s="104"/>
      <c r="IN101" s="104"/>
      <c r="IO101" s="104"/>
      <c r="IP101" s="104"/>
      <c r="IQ101" s="104"/>
      <c r="IR101" s="104"/>
      <c r="IS101" s="104"/>
      <c r="IT101" s="104"/>
      <c r="IU101" s="104"/>
      <c r="IV101" s="104"/>
      <c r="IW101" s="104"/>
      <c r="IX101" s="104"/>
      <c r="IY101" s="104"/>
      <c r="IZ101" s="104"/>
      <c r="JA101" s="104"/>
    </row>
    <row r="102" spans="1:261" x14ac:dyDescent="0.2">
      <c r="A102" s="104"/>
      <c r="B102" s="104"/>
      <c r="C102" s="104"/>
      <c r="D102" s="104"/>
      <c r="E102" s="104"/>
      <c r="F102" s="104"/>
      <c r="G102" s="104"/>
      <c r="H102" s="104"/>
      <c r="I102" s="104"/>
      <c r="J102" s="151"/>
      <c r="K102" s="104"/>
      <c r="L102" s="104"/>
      <c r="M102" s="104"/>
      <c r="N102" s="151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  <c r="IW102" s="104"/>
      <c r="IX102" s="104"/>
      <c r="IY102" s="104"/>
      <c r="IZ102" s="104"/>
      <c r="JA102" s="104"/>
    </row>
    <row r="103" spans="1:261" x14ac:dyDescent="0.2">
      <c r="A103" s="104"/>
      <c r="B103" s="104"/>
      <c r="C103" s="104"/>
      <c r="D103" s="104"/>
      <c r="E103" s="104"/>
      <c r="F103" s="104"/>
      <c r="G103" s="104"/>
      <c r="H103" s="104"/>
      <c r="I103" s="104"/>
      <c r="J103" s="151"/>
      <c r="K103" s="104"/>
      <c r="L103" s="104"/>
      <c r="M103" s="104"/>
      <c r="N103" s="151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  <c r="FA103" s="104"/>
      <c r="FB103" s="104"/>
      <c r="FC103" s="104"/>
      <c r="FD103" s="104"/>
      <c r="FE103" s="104"/>
      <c r="FF103" s="104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  <c r="HO103" s="104"/>
      <c r="HP103" s="104"/>
      <c r="HQ103" s="104"/>
      <c r="HR103" s="104"/>
      <c r="HS103" s="104"/>
      <c r="HT103" s="104"/>
      <c r="HU103" s="104"/>
      <c r="HV103" s="104"/>
      <c r="HW103" s="104"/>
      <c r="HX103" s="104"/>
      <c r="HY103" s="104"/>
      <c r="HZ103" s="104"/>
      <c r="IA103" s="104"/>
      <c r="IB103" s="104"/>
      <c r="IC103" s="104"/>
      <c r="ID103" s="104"/>
      <c r="IE103" s="104"/>
      <c r="IF103" s="104"/>
      <c r="IG103" s="104"/>
      <c r="IH103" s="104"/>
      <c r="II103" s="104"/>
      <c r="IJ103" s="104"/>
      <c r="IK103" s="104"/>
      <c r="IL103" s="104"/>
      <c r="IM103" s="104"/>
      <c r="IN103" s="104"/>
      <c r="IO103" s="104"/>
      <c r="IP103" s="104"/>
      <c r="IQ103" s="104"/>
      <c r="IR103" s="104"/>
      <c r="IS103" s="104"/>
      <c r="IT103" s="104"/>
      <c r="IU103" s="104"/>
      <c r="IV103" s="104"/>
      <c r="IW103" s="104"/>
      <c r="IX103" s="104"/>
      <c r="IY103" s="104"/>
      <c r="IZ103" s="104"/>
      <c r="JA103" s="104"/>
    </row>
    <row r="104" spans="1:261" x14ac:dyDescent="0.2">
      <c r="A104" s="104"/>
      <c r="B104" s="104"/>
      <c r="C104" s="104"/>
      <c r="D104" s="104"/>
      <c r="E104" s="104"/>
      <c r="F104" s="104"/>
      <c r="G104" s="104"/>
      <c r="H104" s="104"/>
      <c r="I104" s="104"/>
      <c r="J104" s="151"/>
      <c r="K104" s="104"/>
      <c r="L104" s="104"/>
      <c r="M104" s="104"/>
      <c r="N104" s="151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  <c r="FA104" s="104"/>
      <c r="FB104" s="104"/>
      <c r="FC104" s="104"/>
      <c r="FD104" s="104"/>
      <c r="FE104" s="104"/>
      <c r="FF104" s="104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  <c r="HO104" s="104"/>
      <c r="HP104" s="104"/>
      <c r="HQ104" s="104"/>
      <c r="HR104" s="104"/>
      <c r="HS104" s="104"/>
      <c r="HT104" s="104"/>
      <c r="HU104" s="104"/>
      <c r="HV104" s="104"/>
      <c r="HW104" s="104"/>
      <c r="HX104" s="104"/>
      <c r="HY104" s="104"/>
      <c r="HZ104" s="104"/>
      <c r="IA104" s="104"/>
      <c r="IB104" s="104"/>
      <c r="IC104" s="104"/>
      <c r="ID104" s="104"/>
      <c r="IE104" s="104"/>
      <c r="IF104" s="104"/>
      <c r="IG104" s="104"/>
      <c r="IH104" s="104"/>
      <c r="II104" s="104"/>
      <c r="IJ104" s="104"/>
      <c r="IK104" s="104"/>
      <c r="IL104" s="104"/>
      <c r="IM104" s="104"/>
      <c r="IN104" s="104"/>
      <c r="IO104" s="104"/>
      <c r="IP104" s="104"/>
      <c r="IQ104" s="104"/>
      <c r="IR104" s="104"/>
      <c r="IS104" s="104"/>
      <c r="IT104" s="104"/>
      <c r="IU104" s="104"/>
      <c r="IV104" s="104"/>
      <c r="IW104" s="104"/>
      <c r="IX104" s="104"/>
      <c r="IY104" s="104"/>
      <c r="IZ104" s="104"/>
      <c r="JA104" s="104"/>
    </row>
    <row r="105" spans="1:261" x14ac:dyDescent="0.2">
      <c r="A105" s="104"/>
      <c r="B105" s="104"/>
      <c r="C105" s="104"/>
      <c r="D105" s="104"/>
      <c r="E105" s="104"/>
      <c r="F105" s="104"/>
      <c r="G105" s="104"/>
      <c r="H105" s="104"/>
      <c r="I105" s="104"/>
      <c r="J105" s="151"/>
      <c r="K105" s="104"/>
      <c r="L105" s="104"/>
      <c r="M105" s="104"/>
      <c r="N105" s="151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  <c r="IQ105" s="104"/>
      <c r="IR105" s="104"/>
      <c r="IS105" s="104"/>
      <c r="IT105" s="104"/>
      <c r="IU105" s="104"/>
      <c r="IV105" s="104"/>
      <c r="IW105" s="104"/>
      <c r="IX105" s="104"/>
      <c r="IY105" s="104"/>
      <c r="IZ105" s="104"/>
      <c r="JA105" s="104"/>
    </row>
    <row r="106" spans="1:261" x14ac:dyDescent="0.2">
      <c r="A106" s="104"/>
      <c r="B106" s="104"/>
      <c r="C106" s="104"/>
      <c r="D106" s="104"/>
      <c r="E106" s="104"/>
      <c r="F106" s="104"/>
      <c r="G106" s="104"/>
      <c r="H106" s="104"/>
      <c r="I106" s="104"/>
      <c r="J106" s="151"/>
      <c r="K106" s="104"/>
      <c r="L106" s="104"/>
      <c r="M106" s="104"/>
      <c r="N106" s="151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  <c r="IW106" s="104"/>
      <c r="IX106" s="104"/>
      <c r="IY106" s="104"/>
      <c r="IZ106" s="104"/>
      <c r="JA106" s="104"/>
    </row>
    <row r="107" spans="1:261" x14ac:dyDescent="0.2">
      <c r="A107" s="104"/>
      <c r="B107" s="104"/>
      <c r="C107" s="104"/>
      <c r="D107" s="104"/>
      <c r="E107" s="104"/>
      <c r="F107" s="104"/>
      <c r="G107" s="104"/>
      <c r="H107" s="104"/>
      <c r="I107" s="104"/>
      <c r="J107" s="151"/>
      <c r="K107" s="104"/>
      <c r="L107" s="104"/>
      <c r="M107" s="104"/>
      <c r="N107" s="151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  <c r="IU107" s="104"/>
      <c r="IV107" s="104"/>
      <c r="IW107" s="104"/>
      <c r="IX107" s="104"/>
      <c r="IY107" s="104"/>
      <c r="IZ107" s="104"/>
      <c r="JA107" s="104"/>
    </row>
    <row r="108" spans="1:261" x14ac:dyDescent="0.2">
      <c r="A108" s="104"/>
      <c r="B108" s="104"/>
      <c r="C108" s="104"/>
      <c r="D108" s="104"/>
      <c r="E108" s="104"/>
      <c r="F108" s="104"/>
      <c r="G108" s="104"/>
      <c r="H108" s="104"/>
      <c r="I108" s="104"/>
      <c r="J108" s="151"/>
      <c r="K108" s="104"/>
      <c r="L108" s="104"/>
      <c r="M108" s="104"/>
      <c r="N108" s="151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  <c r="HO108" s="104"/>
      <c r="HP108" s="104"/>
      <c r="HQ108" s="104"/>
      <c r="HR108" s="104"/>
      <c r="HS108" s="104"/>
      <c r="HT108" s="104"/>
      <c r="HU108" s="104"/>
      <c r="HV108" s="104"/>
      <c r="HW108" s="104"/>
      <c r="HX108" s="104"/>
      <c r="HY108" s="104"/>
      <c r="HZ108" s="104"/>
      <c r="IA108" s="104"/>
      <c r="IB108" s="104"/>
      <c r="IC108" s="104"/>
      <c r="ID108" s="104"/>
      <c r="IE108" s="104"/>
      <c r="IF108" s="104"/>
      <c r="IG108" s="104"/>
      <c r="IH108" s="104"/>
      <c r="II108" s="104"/>
      <c r="IJ108" s="104"/>
      <c r="IK108" s="104"/>
      <c r="IL108" s="104"/>
      <c r="IM108" s="104"/>
      <c r="IN108" s="104"/>
      <c r="IO108" s="104"/>
      <c r="IP108" s="104"/>
      <c r="IQ108" s="104"/>
      <c r="IR108" s="104"/>
      <c r="IS108" s="104"/>
      <c r="IT108" s="104"/>
      <c r="IU108" s="104"/>
      <c r="IV108" s="104"/>
      <c r="IW108" s="104"/>
      <c r="IX108" s="104"/>
      <c r="IY108" s="104"/>
      <c r="IZ108" s="104"/>
      <c r="JA108" s="104"/>
    </row>
    <row r="109" spans="1:261" x14ac:dyDescent="0.2">
      <c r="A109" s="104"/>
      <c r="B109" s="104"/>
      <c r="C109" s="104"/>
      <c r="D109" s="104"/>
      <c r="E109" s="104"/>
      <c r="F109" s="104"/>
      <c r="G109" s="104"/>
      <c r="H109" s="104"/>
      <c r="I109" s="104"/>
      <c r="J109" s="151"/>
      <c r="K109" s="104"/>
      <c r="L109" s="104"/>
      <c r="M109" s="104"/>
      <c r="N109" s="151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  <c r="IW109" s="104"/>
      <c r="IX109" s="104"/>
      <c r="IY109" s="104"/>
      <c r="IZ109" s="104"/>
      <c r="JA109" s="104"/>
    </row>
    <row r="110" spans="1:261" x14ac:dyDescent="0.2">
      <c r="A110" s="104"/>
      <c r="B110" s="104"/>
      <c r="C110" s="104"/>
      <c r="D110" s="104"/>
      <c r="E110" s="104"/>
      <c r="F110" s="104"/>
      <c r="G110" s="104"/>
      <c r="H110" s="104"/>
      <c r="I110" s="104"/>
      <c r="J110" s="151"/>
      <c r="K110" s="104"/>
      <c r="L110" s="104"/>
      <c r="M110" s="104"/>
      <c r="N110" s="151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  <c r="IW110" s="104"/>
      <c r="IX110" s="104"/>
      <c r="IY110" s="104"/>
      <c r="IZ110" s="104"/>
      <c r="JA110" s="104"/>
    </row>
    <row r="111" spans="1:261" x14ac:dyDescent="0.2">
      <c r="A111" s="104"/>
      <c r="B111" s="104"/>
      <c r="C111" s="104"/>
      <c r="D111" s="104"/>
      <c r="E111" s="104"/>
      <c r="F111" s="104"/>
      <c r="G111" s="104"/>
      <c r="H111" s="104"/>
      <c r="I111" s="104"/>
      <c r="J111" s="151"/>
      <c r="K111" s="104"/>
      <c r="L111" s="104"/>
      <c r="M111" s="104"/>
      <c r="N111" s="151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  <c r="IW111" s="104"/>
      <c r="IX111" s="104"/>
      <c r="IY111" s="104"/>
      <c r="IZ111" s="104"/>
      <c r="JA111" s="104"/>
    </row>
    <row r="112" spans="1:261" x14ac:dyDescent="0.2">
      <c r="A112" s="104"/>
      <c r="B112" s="104"/>
      <c r="C112" s="104"/>
      <c r="D112" s="104"/>
      <c r="E112" s="104"/>
      <c r="F112" s="104"/>
      <c r="G112" s="104"/>
      <c r="H112" s="104"/>
      <c r="I112" s="104"/>
      <c r="J112" s="151"/>
      <c r="K112" s="104"/>
      <c r="L112" s="104"/>
      <c r="M112" s="104"/>
      <c r="N112" s="151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  <c r="HO112" s="104"/>
      <c r="HP112" s="104"/>
      <c r="HQ112" s="104"/>
      <c r="HR112" s="104"/>
      <c r="HS112" s="104"/>
      <c r="HT112" s="104"/>
      <c r="HU112" s="104"/>
      <c r="HV112" s="104"/>
      <c r="HW112" s="104"/>
      <c r="HX112" s="104"/>
      <c r="HY112" s="104"/>
      <c r="HZ112" s="104"/>
      <c r="IA112" s="104"/>
      <c r="IB112" s="104"/>
      <c r="IC112" s="104"/>
      <c r="ID112" s="104"/>
      <c r="IE112" s="104"/>
      <c r="IF112" s="104"/>
      <c r="IG112" s="104"/>
      <c r="IH112" s="104"/>
      <c r="II112" s="104"/>
      <c r="IJ112" s="104"/>
      <c r="IK112" s="104"/>
      <c r="IL112" s="104"/>
      <c r="IM112" s="104"/>
      <c r="IN112" s="104"/>
      <c r="IO112" s="104"/>
      <c r="IP112" s="104"/>
      <c r="IQ112" s="104"/>
      <c r="IR112" s="104"/>
      <c r="IS112" s="104"/>
      <c r="IT112" s="104"/>
      <c r="IU112" s="104"/>
      <c r="IV112" s="104"/>
      <c r="IW112" s="104"/>
      <c r="IX112" s="104"/>
      <c r="IY112" s="104"/>
      <c r="IZ112" s="104"/>
      <c r="JA112" s="104"/>
    </row>
    <row r="113" spans="1:261" x14ac:dyDescent="0.2">
      <c r="A113" s="104"/>
      <c r="B113" s="104"/>
      <c r="C113" s="104"/>
      <c r="D113" s="104"/>
      <c r="E113" s="104"/>
      <c r="F113" s="104"/>
      <c r="G113" s="104"/>
      <c r="H113" s="104"/>
      <c r="I113" s="104"/>
      <c r="J113" s="151"/>
      <c r="K113" s="104"/>
      <c r="L113" s="104"/>
      <c r="M113" s="104"/>
      <c r="N113" s="151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  <c r="CJ113" s="104"/>
      <c r="CK113" s="104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4"/>
      <c r="FA113" s="104"/>
      <c r="FB113" s="104"/>
      <c r="FC113" s="104"/>
      <c r="FD113" s="104"/>
      <c r="FE113" s="104"/>
      <c r="FF113" s="104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  <c r="HO113" s="104"/>
      <c r="HP113" s="104"/>
      <c r="HQ113" s="104"/>
      <c r="HR113" s="104"/>
      <c r="HS113" s="104"/>
      <c r="HT113" s="104"/>
      <c r="HU113" s="104"/>
      <c r="HV113" s="104"/>
      <c r="HW113" s="104"/>
      <c r="HX113" s="104"/>
      <c r="HY113" s="104"/>
      <c r="HZ113" s="104"/>
      <c r="IA113" s="104"/>
      <c r="IB113" s="104"/>
      <c r="IC113" s="104"/>
      <c r="ID113" s="104"/>
      <c r="IE113" s="104"/>
      <c r="IF113" s="104"/>
      <c r="IG113" s="104"/>
      <c r="IH113" s="104"/>
      <c r="II113" s="104"/>
      <c r="IJ113" s="104"/>
      <c r="IK113" s="104"/>
      <c r="IL113" s="104"/>
      <c r="IM113" s="104"/>
      <c r="IN113" s="104"/>
      <c r="IO113" s="104"/>
      <c r="IP113" s="104"/>
      <c r="IQ113" s="104"/>
      <c r="IR113" s="104"/>
      <c r="IS113" s="104"/>
      <c r="IT113" s="104"/>
      <c r="IU113" s="104"/>
      <c r="IV113" s="104"/>
      <c r="IW113" s="104"/>
      <c r="IX113" s="104"/>
      <c r="IY113" s="104"/>
      <c r="IZ113" s="104"/>
      <c r="JA113" s="104"/>
    </row>
    <row r="114" spans="1:261" x14ac:dyDescent="0.2">
      <c r="A114" s="104"/>
      <c r="B114" s="104"/>
      <c r="C114" s="104"/>
      <c r="D114" s="104"/>
      <c r="E114" s="104"/>
      <c r="F114" s="104"/>
      <c r="G114" s="104"/>
      <c r="H114" s="104"/>
      <c r="I114" s="104"/>
      <c r="J114" s="151"/>
      <c r="K114" s="104"/>
      <c r="L114" s="104"/>
      <c r="M114" s="104"/>
      <c r="N114" s="151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4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  <c r="HO114" s="104"/>
      <c r="HP114" s="104"/>
      <c r="HQ114" s="104"/>
      <c r="HR114" s="104"/>
      <c r="HS114" s="104"/>
      <c r="HT114" s="104"/>
      <c r="HU114" s="104"/>
      <c r="HV114" s="104"/>
      <c r="HW114" s="104"/>
      <c r="HX114" s="104"/>
      <c r="HY114" s="104"/>
      <c r="HZ114" s="104"/>
      <c r="IA114" s="104"/>
      <c r="IB114" s="104"/>
      <c r="IC114" s="104"/>
      <c r="ID114" s="104"/>
      <c r="IE114" s="104"/>
      <c r="IF114" s="104"/>
      <c r="IG114" s="104"/>
      <c r="IH114" s="104"/>
      <c r="II114" s="104"/>
      <c r="IJ114" s="104"/>
      <c r="IK114" s="104"/>
      <c r="IL114" s="104"/>
      <c r="IM114" s="104"/>
      <c r="IN114" s="104"/>
      <c r="IO114" s="104"/>
      <c r="IP114" s="104"/>
      <c r="IQ114" s="104"/>
      <c r="IR114" s="104"/>
      <c r="IS114" s="104"/>
      <c r="IT114" s="104"/>
      <c r="IU114" s="104"/>
      <c r="IV114" s="104"/>
      <c r="IW114" s="104"/>
      <c r="IX114" s="104"/>
      <c r="IY114" s="104"/>
      <c r="IZ114" s="104"/>
      <c r="JA114" s="104"/>
    </row>
    <row r="115" spans="1:261" x14ac:dyDescent="0.2">
      <c r="A115" s="104"/>
      <c r="B115" s="104"/>
      <c r="C115" s="104"/>
      <c r="D115" s="104"/>
      <c r="E115" s="104"/>
      <c r="F115" s="104"/>
      <c r="G115" s="104"/>
      <c r="H115" s="104"/>
      <c r="I115" s="104"/>
      <c r="J115" s="151"/>
      <c r="K115" s="104"/>
      <c r="L115" s="104"/>
      <c r="M115" s="104"/>
      <c r="N115" s="151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  <c r="CJ115" s="104"/>
      <c r="CK115" s="104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4"/>
      <c r="DB115" s="104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04"/>
      <c r="EZ115" s="104"/>
      <c r="FA115" s="104"/>
      <c r="FB115" s="104"/>
      <c r="FC115" s="104"/>
      <c r="FD115" s="104"/>
      <c r="FE115" s="104"/>
      <c r="FF115" s="104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  <c r="HO115" s="104"/>
      <c r="HP115" s="104"/>
      <c r="HQ115" s="104"/>
      <c r="HR115" s="104"/>
      <c r="HS115" s="104"/>
      <c r="HT115" s="104"/>
      <c r="HU115" s="104"/>
      <c r="HV115" s="104"/>
      <c r="HW115" s="104"/>
      <c r="HX115" s="104"/>
      <c r="HY115" s="104"/>
      <c r="HZ115" s="104"/>
      <c r="IA115" s="104"/>
      <c r="IB115" s="104"/>
      <c r="IC115" s="104"/>
      <c r="ID115" s="104"/>
      <c r="IE115" s="104"/>
      <c r="IF115" s="104"/>
      <c r="IG115" s="104"/>
      <c r="IH115" s="104"/>
      <c r="II115" s="104"/>
      <c r="IJ115" s="104"/>
      <c r="IK115" s="104"/>
      <c r="IL115" s="104"/>
      <c r="IM115" s="104"/>
      <c r="IN115" s="104"/>
      <c r="IO115" s="104"/>
      <c r="IP115" s="104"/>
      <c r="IQ115" s="104"/>
      <c r="IR115" s="104"/>
      <c r="IS115" s="104"/>
      <c r="IT115" s="104"/>
      <c r="IU115" s="104"/>
      <c r="IV115" s="104"/>
      <c r="IW115" s="104"/>
      <c r="IX115" s="104"/>
      <c r="IY115" s="104"/>
      <c r="IZ115" s="104"/>
      <c r="JA115" s="104"/>
    </row>
    <row r="116" spans="1:261" x14ac:dyDescent="0.2">
      <c r="A116" s="104"/>
      <c r="B116" s="104"/>
      <c r="C116" s="104"/>
      <c r="D116" s="104"/>
      <c r="E116" s="104"/>
      <c r="F116" s="104"/>
      <c r="G116" s="104"/>
      <c r="H116" s="104"/>
      <c r="I116" s="104"/>
      <c r="J116" s="151"/>
      <c r="K116" s="104"/>
      <c r="L116" s="104"/>
      <c r="M116" s="104"/>
      <c r="N116" s="151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  <c r="IU116" s="104"/>
      <c r="IV116" s="104"/>
      <c r="IW116" s="104"/>
      <c r="IX116" s="104"/>
      <c r="IY116" s="104"/>
      <c r="IZ116" s="104"/>
      <c r="JA116" s="104"/>
    </row>
    <row r="117" spans="1:261" x14ac:dyDescent="0.2">
      <c r="A117" s="104"/>
      <c r="B117" s="104"/>
      <c r="C117" s="104"/>
      <c r="D117" s="104"/>
      <c r="E117" s="104"/>
      <c r="F117" s="104"/>
      <c r="G117" s="104"/>
      <c r="H117" s="104"/>
      <c r="I117" s="104"/>
      <c r="J117" s="151"/>
      <c r="K117" s="104"/>
      <c r="L117" s="104"/>
      <c r="M117" s="104"/>
      <c r="N117" s="151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  <c r="CJ117" s="104"/>
      <c r="CK117" s="104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4"/>
      <c r="DB117" s="104"/>
      <c r="DC117" s="104"/>
      <c r="DD117" s="104"/>
      <c r="DE117" s="104"/>
      <c r="DF117" s="104"/>
      <c r="DG117" s="104"/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4"/>
      <c r="FA117" s="104"/>
      <c r="FB117" s="104"/>
      <c r="FC117" s="104"/>
      <c r="FD117" s="104"/>
      <c r="FE117" s="104"/>
      <c r="FF117" s="104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  <c r="HO117" s="104"/>
      <c r="HP117" s="104"/>
      <c r="HQ117" s="104"/>
      <c r="HR117" s="104"/>
      <c r="HS117" s="104"/>
      <c r="HT117" s="104"/>
      <c r="HU117" s="104"/>
      <c r="HV117" s="104"/>
      <c r="HW117" s="104"/>
      <c r="HX117" s="104"/>
      <c r="HY117" s="104"/>
      <c r="HZ117" s="104"/>
      <c r="IA117" s="104"/>
      <c r="IB117" s="104"/>
      <c r="IC117" s="104"/>
      <c r="ID117" s="104"/>
      <c r="IE117" s="104"/>
      <c r="IF117" s="104"/>
      <c r="IG117" s="104"/>
      <c r="IH117" s="104"/>
      <c r="II117" s="104"/>
      <c r="IJ117" s="104"/>
      <c r="IK117" s="104"/>
      <c r="IL117" s="104"/>
      <c r="IM117" s="104"/>
      <c r="IN117" s="104"/>
      <c r="IO117" s="104"/>
      <c r="IP117" s="104"/>
      <c r="IQ117" s="104"/>
      <c r="IR117" s="104"/>
      <c r="IS117" s="104"/>
      <c r="IT117" s="104"/>
      <c r="IU117" s="104"/>
      <c r="IV117" s="104"/>
      <c r="IW117" s="104"/>
      <c r="IX117" s="104"/>
      <c r="IY117" s="104"/>
      <c r="IZ117" s="104"/>
      <c r="JA117" s="104"/>
    </row>
    <row r="118" spans="1:261" x14ac:dyDescent="0.2">
      <c r="A118" s="104"/>
      <c r="B118" s="104"/>
      <c r="C118" s="104"/>
      <c r="D118" s="104"/>
      <c r="E118" s="104"/>
      <c r="F118" s="104"/>
      <c r="G118" s="104"/>
      <c r="H118" s="104"/>
      <c r="I118" s="104"/>
      <c r="J118" s="151"/>
      <c r="K118" s="104"/>
      <c r="L118" s="104"/>
      <c r="M118" s="104"/>
      <c r="N118" s="151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4"/>
      <c r="DB118" s="104"/>
      <c r="DC118" s="104"/>
      <c r="DD118" s="104"/>
      <c r="DE118" s="104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  <c r="HO118" s="104"/>
      <c r="HP118" s="104"/>
      <c r="HQ118" s="104"/>
      <c r="HR118" s="104"/>
      <c r="HS118" s="104"/>
      <c r="HT118" s="104"/>
      <c r="HU118" s="104"/>
      <c r="HV118" s="104"/>
      <c r="HW118" s="104"/>
      <c r="HX118" s="104"/>
      <c r="HY118" s="104"/>
      <c r="HZ118" s="104"/>
      <c r="IA118" s="104"/>
      <c r="IB118" s="104"/>
      <c r="IC118" s="104"/>
      <c r="ID118" s="104"/>
      <c r="IE118" s="104"/>
      <c r="IF118" s="104"/>
      <c r="IG118" s="104"/>
      <c r="IH118" s="104"/>
      <c r="II118" s="104"/>
      <c r="IJ118" s="104"/>
      <c r="IK118" s="104"/>
      <c r="IL118" s="104"/>
      <c r="IM118" s="104"/>
      <c r="IN118" s="104"/>
      <c r="IO118" s="104"/>
      <c r="IP118" s="104"/>
      <c r="IQ118" s="104"/>
      <c r="IR118" s="104"/>
      <c r="IS118" s="104"/>
      <c r="IT118" s="104"/>
      <c r="IU118" s="104"/>
      <c r="IV118" s="104"/>
      <c r="IW118" s="104"/>
      <c r="IX118" s="104"/>
      <c r="IY118" s="104"/>
      <c r="IZ118" s="104"/>
      <c r="JA118" s="104"/>
    </row>
    <row r="119" spans="1:261" x14ac:dyDescent="0.2">
      <c r="A119" s="104"/>
      <c r="B119" s="104"/>
      <c r="C119" s="104"/>
      <c r="D119" s="104"/>
      <c r="E119" s="104"/>
      <c r="F119" s="104"/>
      <c r="G119" s="104"/>
      <c r="H119" s="104"/>
      <c r="I119" s="104"/>
      <c r="J119" s="151"/>
      <c r="K119" s="104"/>
      <c r="L119" s="104"/>
      <c r="M119" s="104"/>
      <c r="N119" s="151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  <c r="IW119" s="104"/>
      <c r="IX119" s="104"/>
      <c r="IY119" s="104"/>
      <c r="IZ119" s="104"/>
      <c r="JA119" s="104"/>
    </row>
    <row r="120" spans="1:261" x14ac:dyDescent="0.2">
      <c r="A120" s="104"/>
      <c r="B120" s="104"/>
      <c r="C120" s="104"/>
      <c r="D120" s="104"/>
      <c r="E120" s="104"/>
      <c r="F120" s="104"/>
      <c r="G120" s="104"/>
      <c r="H120" s="104"/>
      <c r="I120" s="104"/>
      <c r="J120" s="151"/>
      <c r="K120" s="104"/>
      <c r="L120" s="104"/>
      <c r="M120" s="104"/>
      <c r="N120" s="151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04"/>
      <c r="EZ120" s="104"/>
      <c r="FA120" s="104"/>
      <c r="FB120" s="104"/>
      <c r="FC120" s="104"/>
      <c r="FD120" s="104"/>
      <c r="FE120" s="104"/>
      <c r="FF120" s="104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  <c r="HO120" s="104"/>
      <c r="HP120" s="104"/>
      <c r="HQ120" s="104"/>
      <c r="HR120" s="104"/>
      <c r="HS120" s="104"/>
      <c r="HT120" s="104"/>
      <c r="HU120" s="104"/>
      <c r="HV120" s="104"/>
      <c r="HW120" s="104"/>
      <c r="HX120" s="104"/>
      <c r="HY120" s="104"/>
      <c r="HZ120" s="104"/>
      <c r="IA120" s="104"/>
      <c r="IB120" s="104"/>
      <c r="IC120" s="104"/>
      <c r="ID120" s="104"/>
      <c r="IE120" s="104"/>
      <c r="IF120" s="104"/>
      <c r="IG120" s="104"/>
      <c r="IH120" s="104"/>
      <c r="II120" s="104"/>
      <c r="IJ120" s="104"/>
      <c r="IK120" s="104"/>
      <c r="IL120" s="104"/>
      <c r="IM120" s="104"/>
      <c r="IN120" s="104"/>
      <c r="IO120" s="104"/>
      <c r="IP120" s="104"/>
      <c r="IQ120" s="104"/>
      <c r="IR120" s="104"/>
      <c r="IS120" s="104"/>
      <c r="IT120" s="104"/>
      <c r="IU120" s="104"/>
      <c r="IV120" s="104"/>
      <c r="IW120" s="104"/>
      <c r="IX120" s="104"/>
      <c r="IY120" s="104"/>
      <c r="IZ120" s="104"/>
      <c r="JA120" s="104"/>
    </row>
    <row r="121" spans="1:261" x14ac:dyDescent="0.2">
      <c r="A121" s="104"/>
      <c r="B121" s="104"/>
      <c r="C121" s="104"/>
      <c r="D121" s="104"/>
      <c r="E121" s="104"/>
      <c r="F121" s="104"/>
      <c r="G121" s="104"/>
      <c r="H121" s="104"/>
      <c r="I121" s="104"/>
      <c r="J121" s="151"/>
      <c r="K121" s="104"/>
      <c r="L121" s="104"/>
      <c r="M121" s="104"/>
      <c r="N121" s="151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  <c r="CJ121" s="104"/>
      <c r="CK121" s="104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4"/>
      <c r="DB121" s="104"/>
      <c r="DC121" s="104"/>
      <c r="DD121" s="104"/>
      <c r="DE121" s="104"/>
      <c r="DF121" s="104"/>
      <c r="DG121" s="104"/>
      <c r="DH121" s="104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4"/>
      <c r="FA121" s="104"/>
      <c r="FB121" s="104"/>
      <c r="FC121" s="104"/>
      <c r="FD121" s="104"/>
      <c r="FE121" s="104"/>
      <c r="FF121" s="104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  <c r="HO121" s="104"/>
      <c r="HP121" s="104"/>
      <c r="HQ121" s="104"/>
      <c r="HR121" s="104"/>
      <c r="HS121" s="104"/>
      <c r="HT121" s="104"/>
      <c r="HU121" s="104"/>
      <c r="HV121" s="104"/>
      <c r="HW121" s="104"/>
      <c r="HX121" s="104"/>
      <c r="HY121" s="104"/>
      <c r="HZ121" s="104"/>
      <c r="IA121" s="104"/>
      <c r="IB121" s="104"/>
      <c r="IC121" s="104"/>
      <c r="ID121" s="104"/>
      <c r="IE121" s="104"/>
      <c r="IF121" s="104"/>
      <c r="IG121" s="104"/>
      <c r="IH121" s="104"/>
      <c r="II121" s="104"/>
      <c r="IJ121" s="104"/>
      <c r="IK121" s="104"/>
      <c r="IL121" s="104"/>
      <c r="IM121" s="104"/>
      <c r="IN121" s="104"/>
      <c r="IO121" s="104"/>
      <c r="IP121" s="104"/>
      <c r="IQ121" s="104"/>
      <c r="IR121" s="104"/>
      <c r="IS121" s="104"/>
      <c r="IT121" s="104"/>
      <c r="IU121" s="104"/>
      <c r="IV121" s="104"/>
      <c r="IW121" s="104"/>
      <c r="IX121" s="104"/>
      <c r="IY121" s="104"/>
      <c r="IZ121" s="104"/>
      <c r="JA121" s="104"/>
    </row>
    <row r="122" spans="1:261" x14ac:dyDescent="0.2">
      <c r="A122" s="104"/>
      <c r="B122" s="104"/>
      <c r="C122" s="104"/>
      <c r="D122" s="104"/>
      <c r="E122" s="104"/>
      <c r="F122" s="104"/>
      <c r="G122" s="104"/>
      <c r="H122" s="104"/>
      <c r="I122" s="104"/>
      <c r="J122" s="151"/>
      <c r="K122" s="104"/>
      <c r="L122" s="104"/>
      <c r="M122" s="104"/>
      <c r="N122" s="151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4"/>
      <c r="DB122" s="104"/>
      <c r="DC122" s="104"/>
      <c r="DD122" s="104"/>
      <c r="DE122" s="104"/>
      <c r="DF122" s="104"/>
      <c r="DG122" s="104"/>
      <c r="DH122" s="104"/>
      <c r="DI122" s="104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04"/>
      <c r="EZ122" s="104"/>
      <c r="FA122" s="104"/>
      <c r="FB122" s="104"/>
      <c r="FC122" s="104"/>
      <c r="FD122" s="104"/>
      <c r="FE122" s="104"/>
      <c r="FF122" s="104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  <c r="HO122" s="104"/>
      <c r="HP122" s="104"/>
      <c r="HQ122" s="104"/>
      <c r="HR122" s="104"/>
      <c r="HS122" s="104"/>
      <c r="HT122" s="104"/>
      <c r="HU122" s="104"/>
      <c r="HV122" s="104"/>
      <c r="HW122" s="104"/>
      <c r="HX122" s="104"/>
      <c r="HY122" s="104"/>
      <c r="HZ122" s="104"/>
      <c r="IA122" s="104"/>
      <c r="IB122" s="104"/>
      <c r="IC122" s="104"/>
      <c r="ID122" s="104"/>
      <c r="IE122" s="104"/>
      <c r="IF122" s="104"/>
      <c r="IG122" s="104"/>
      <c r="IH122" s="104"/>
      <c r="II122" s="104"/>
      <c r="IJ122" s="104"/>
      <c r="IK122" s="104"/>
      <c r="IL122" s="104"/>
      <c r="IM122" s="104"/>
      <c r="IN122" s="104"/>
      <c r="IO122" s="104"/>
      <c r="IP122" s="104"/>
      <c r="IQ122" s="104"/>
      <c r="IR122" s="104"/>
      <c r="IS122" s="104"/>
      <c r="IT122" s="104"/>
      <c r="IU122" s="104"/>
      <c r="IV122" s="104"/>
      <c r="IW122" s="104"/>
      <c r="IX122" s="104"/>
      <c r="IY122" s="104"/>
      <c r="IZ122" s="104"/>
      <c r="JA122" s="104"/>
    </row>
    <row r="123" spans="1:261" x14ac:dyDescent="0.2">
      <c r="A123" s="104"/>
      <c r="B123" s="104"/>
      <c r="C123" s="104"/>
      <c r="D123" s="104"/>
      <c r="E123" s="104"/>
      <c r="F123" s="104"/>
      <c r="G123" s="104"/>
      <c r="H123" s="104"/>
      <c r="I123" s="104"/>
      <c r="J123" s="151"/>
      <c r="K123" s="104"/>
      <c r="L123" s="104"/>
      <c r="M123" s="104"/>
      <c r="N123" s="151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4"/>
      <c r="DB123" s="104"/>
      <c r="DC123" s="104"/>
      <c r="DD123" s="104"/>
      <c r="DE123" s="104"/>
      <c r="DF123" s="104"/>
      <c r="DG123" s="104"/>
      <c r="DH123" s="104"/>
      <c r="DI123" s="104"/>
      <c r="DJ123" s="104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4"/>
      <c r="HP123" s="104"/>
      <c r="HQ123" s="104"/>
      <c r="HR123" s="104"/>
      <c r="HS123" s="104"/>
      <c r="HT123" s="104"/>
      <c r="HU123" s="104"/>
      <c r="HV123" s="104"/>
      <c r="HW123" s="104"/>
      <c r="HX123" s="104"/>
      <c r="HY123" s="104"/>
      <c r="HZ123" s="104"/>
      <c r="IA123" s="104"/>
      <c r="IB123" s="104"/>
      <c r="IC123" s="104"/>
      <c r="ID123" s="104"/>
      <c r="IE123" s="104"/>
      <c r="IF123" s="104"/>
      <c r="IG123" s="104"/>
      <c r="IH123" s="104"/>
      <c r="II123" s="104"/>
      <c r="IJ123" s="104"/>
      <c r="IK123" s="104"/>
      <c r="IL123" s="104"/>
      <c r="IM123" s="104"/>
      <c r="IN123" s="104"/>
      <c r="IO123" s="104"/>
      <c r="IP123" s="104"/>
      <c r="IQ123" s="104"/>
      <c r="IR123" s="104"/>
      <c r="IS123" s="104"/>
      <c r="IT123" s="104"/>
      <c r="IU123" s="104"/>
      <c r="IV123" s="104"/>
      <c r="IW123" s="104"/>
      <c r="IX123" s="104"/>
      <c r="IY123" s="104"/>
      <c r="IZ123" s="104"/>
      <c r="JA123" s="104"/>
    </row>
    <row r="124" spans="1:261" x14ac:dyDescent="0.2">
      <c r="A124" s="104"/>
      <c r="B124" s="104"/>
      <c r="C124" s="104"/>
      <c r="D124" s="104"/>
      <c r="E124" s="104"/>
      <c r="F124" s="104"/>
      <c r="G124" s="104"/>
      <c r="H124" s="104"/>
      <c r="I124" s="104"/>
      <c r="J124" s="151"/>
      <c r="K124" s="104"/>
      <c r="L124" s="104"/>
      <c r="M124" s="104"/>
      <c r="N124" s="151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4"/>
      <c r="DB124" s="104"/>
      <c r="DC124" s="104"/>
      <c r="DD124" s="104"/>
      <c r="DE124" s="104"/>
      <c r="DF124" s="104"/>
      <c r="DG124" s="104"/>
      <c r="DH124" s="104"/>
      <c r="DI124" s="104"/>
      <c r="DJ124" s="104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04"/>
      <c r="EZ124" s="104"/>
      <c r="FA124" s="104"/>
      <c r="FB124" s="104"/>
      <c r="FC124" s="104"/>
      <c r="FD124" s="104"/>
      <c r="FE124" s="104"/>
      <c r="FF124" s="104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  <c r="HO124" s="104"/>
      <c r="HP124" s="104"/>
      <c r="HQ124" s="104"/>
      <c r="HR124" s="104"/>
      <c r="HS124" s="104"/>
      <c r="HT124" s="104"/>
      <c r="HU124" s="104"/>
      <c r="HV124" s="104"/>
      <c r="HW124" s="104"/>
      <c r="HX124" s="104"/>
      <c r="HY124" s="104"/>
      <c r="HZ124" s="104"/>
      <c r="IA124" s="104"/>
      <c r="IB124" s="104"/>
      <c r="IC124" s="104"/>
      <c r="ID124" s="104"/>
      <c r="IE124" s="104"/>
      <c r="IF124" s="104"/>
      <c r="IG124" s="104"/>
      <c r="IH124" s="104"/>
      <c r="II124" s="104"/>
      <c r="IJ124" s="104"/>
      <c r="IK124" s="104"/>
      <c r="IL124" s="104"/>
      <c r="IM124" s="104"/>
      <c r="IN124" s="104"/>
      <c r="IO124" s="104"/>
      <c r="IP124" s="104"/>
      <c r="IQ124" s="104"/>
      <c r="IR124" s="104"/>
      <c r="IS124" s="104"/>
      <c r="IT124" s="104"/>
      <c r="IU124" s="104"/>
      <c r="IV124" s="104"/>
      <c r="IW124" s="104"/>
      <c r="IX124" s="104"/>
      <c r="IY124" s="104"/>
      <c r="IZ124" s="104"/>
      <c r="JA124" s="104"/>
    </row>
    <row r="125" spans="1:261" x14ac:dyDescent="0.2">
      <c r="A125" s="104"/>
      <c r="B125" s="104"/>
      <c r="C125" s="104"/>
      <c r="D125" s="104"/>
      <c r="E125" s="104"/>
      <c r="F125" s="104"/>
      <c r="G125" s="104"/>
      <c r="H125" s="104"/>
      <c r="I125" s="104"/>
      <c r="J125" s="151"/>
      <c r="K125" s="104"/>
      <c r="L125" s="104"/>
      <c r="M125" s="104"/>
      <c r="N125" s="151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4"/>
      <c r="DB125" s="104"/>
      <c r="DC125" s="104"/>
      <c r="DD125" s="104"/>
      <c r="DE125" s="104"/>
      <c r="DF125" s="104"/>
      <c r="DG125" s="104"/>
      <c r="DH125" s="104"/>
      <c r="DI125" s="104"/>
      <c r="DJ125" s="104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4"/>
      <c r="FA125" s="104"/>
      <c r="FB125" s="104"/>
      <c r="FC125" s="104"/>
      <c r="FD125" s="104"/>
      <c r="FE125" s="104"/>
      <c r="FF125" s="104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  <c r="HO125" s="104"/>
      <c r="HP125" s="104"/>
      <c r="HQ125" s="104"/>
      <c r="HR125" s="104"/>
      <c r="HS125" s="104"/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I125" s="104"/>
      <c r="IJ125" s="104"/>
      <c r="IK125" s="104"/>
      <c r="IL125" s="104"/>
      <c r="IM125" s="104"/>
      <c r="IN125" s="104"/>
      <c r="IO125" s="104"/>
      <c r="IP125" s="104"/>
      <c r="IQ125" s="104"/>
      <c r="IR125" s="104"/>
      <c r="IS125" s="104"/>
      <c r="IT125" s="104"/>
      <c r="IU125" s="104"/>
      <c r="IV125" s="104"/>
      <c r="IW125" s="104"/>
      <c r="IX125" s="104"/>
      <c r="IY125" s="104"/>
      <c r="IZ125" s="104"/>
      <c r="JA125" s="104"/>
    </row>
    <row r="126" spans="1:261" x14ac:dyDescent="0.2">
      <c r="A126" s="104"/>
      <c r="B126" s="104"/>
      <c r="C126" s="104"/>
      <c r="D126" s="104"/>
      <c r="E126" s="104"/>
      <c r="F126" s="104"/>
      <c r="G126" s="104"/>
      <c r="H126" s="104"/>
      <c r="I126" s="104"/>
      <c r="J126" s="151"/>
      <c r="K126" s="104"/>
      <c r="L126" s="104"/>
      <c r="M126" s="104"/>
      <c r="N126" s="151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4"/>
      <c r="DB126" s="104"/>
      <c r="DC126" s="104"/>
      <c r="DD126" s="104"/>
      <c r="DE126" s="104"/>
      <c r="DF126" s="104"/>
      <c r="DG126" s="104"/>
      <c r="DH126" s="104"/>
      <c r="DI126" s="104"/>
      <c r="DJ126" s="104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  <c r="HO126" s="104"/>
      <c r="HP126" s="104"/>
      <c r="HQ126" s="104"/>
      <c r="HR126" s="104"/>
      <c r="HS126" s="104"/>
      <c r="HT126" s="104"/>
      <c r="HU126" s="104"/>
      <c r="HV126" s="104"/>
      <c r="HW126" s="104"/>
      <c r="HX126" s="104"/>
      <c r="HY126" s="104"/>
      <c r="HZ126" s="104"/>
      <c r="IA126" s="104"/>
      <c r="IB126" s="104"/>
      <c r="IC126" s="104"/>
      <c r="ID126" s="104"/>
      <c r="IE126" s="104"/>
      <c r="IF126" s="104"/>
      <c r="IG126" s="104"/>
      <c r="IH126" s="104"/>
      <c r="II126" s="104"/>
      <c r="IJ126" s="104"/>
      <c r="IK126" s="104"/>
      <c r="IL126" s="104"/>
      <c r="IM126" s="104"/>
      <c r="IN126" s="104"/>
      <c r="IO126" s="104"/>
      <c r="IP126" s="104"/>
      <c r="IQ126" s="104"/>
      <c r="IR126" s="104"/>
      <c r="IS126" s="104"/>
      <c r="IT126" s="104"/>
      <c r="IU126" s="104"/>
      <c r="IV126" s="104"/>
      <c r="IW126" s="104"/>
      <c r="IX126" s="104"/>
      <c r="IY126" s="104"/>
      <c r="IZ126" s="104"/>
      <c r="JA126" s="104"/>
    </row>
    <row r="127" spans="1:261" x14ac:dyDescent="0.2">
      <c r="A127" s="104"/>
      <c r="B127" s="104"/>
      <c r="C127" s="104"/>
      <c r="D127" s="104"/>
      <c r="E127" s="104"/>
      <c r="F127" s="104"/>
      <c r="G127" s="104"/>
      <c r="H127" s="104"/>
      <c r="I127" s="104"/>
      <c r="J127" s="151"/>
      <c r="K127" s="104"/>
      <c r="L127" s="104"/>
      <c r="M127" s="104"/>
      <c r="N127" s="151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  <c r="IW127" s="104"/>
      <c r="IX127" s="104"/>
      <c r="IY127" s="104"/>
      <c r="IZ127" s="104"/>
      <c r="JA127" s="104"/>
    </row>
    <row r="128" spans="1:261" x14ac:dyDescent="0.2">
      <c r="A128" s="104"/>
      <c r="B128" s="104"/>
      <c r="C128" s="104"/>
      <c r="D128" s="104"/>
      <c r="E128" s="104"/>
      <c r="F128" s="104"/>
      <c r="G128" s="104"/>
      <c r="H128" s="104"/>
      <c r="I128" s="104"/>
      <c r="J128" s="151"/>
      <c r="K128" s="104"/>
      <c r="L128" s="104"/>
      <c r="M128" s="104"/>
      <c r="N128" s="151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104"/>
      <c r="DD128" s="104"/>
      <c r="DE128" s="104"/>
      <c r="DF128" s="104"/>
      <c r="DG128" s="104"/>
      <c r="DH128" s="104"/>
      <c r="DI128" s="104"/>
      <c r="DJ128" s="104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104"/>
      <c r="FD128" s="104"/>
      <c r="FE128" s="104"/>
      <c r="FF128" s="104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  <c r="HO128" s="104"/>
      <c r="HP128" s="104"/>
      <c r="HQ128" s="104"/>
      <c r="HR128" s="104"/>
      <c r="HS128" s="104"/>
      <c r="HT128" s="104"/>
      <c r="HU128" s="104"/>
      <c r="HV128" s="104"/>
      <c r="HW128" s="104"/>
      <c r="HX128" s="104"/>
      <c r="HY128" s="104"/>
      <c r="HZ128" s="104"/>
      <c r="IA128" s="104"/>
      <c r="IB128" s="104"/>
      <c r="IC128" s="104"/>
      <c r="ID128" s="104"/>
      <c r="IE128" s="104"/>
      <c r="IF128" s="104"/>
      <c r="IG128" s="104"/>
      <c r="IH128" s="104"/>
      <c r="II128" s="104"/>
      <c r="IJ128" s="104"/>
      <c r="IK128" s="104"/>
      <c r="IL128" s="104"/>
      <c r="IM128" s="104"/>
      <c r="IN128" s="104"/>
      <c r="IO128" s="104"/>
      <c r="IP128" s="104"/>
      <c r="IQ128" s="104"/>
      <c r="IR128" s="104"/>
      <c r="IS128" s="104"/>
      <c r="IT128" s="104"/>
      <c r="IU128" s="104"/>
      <c r="IV128" s="104"/>
      <c r="IW128" s="104"/>
      <c r="IX128" s="104"/>
      <c r="IY128" s="104"/>
      <c r="IZ128" s="104"/>
      <c r="JA128" s="104"/>
    </row>
    <row r="129" spans="1:261" x14ac:dyDescent="0.2">
      <c r="A129" s="104"/>
      <c r="B129" s="104"/>
      <c r="C129" s="104"/>
      <c r="D129" s="104"/>
      <c r="E129" s="104"/>
      <c r="F129" s="104"/>
      <c r="G129" s="104"/>
      <c r="H129" s="104"/>
      <c r="I129" s="104"/>
      <c r="J129" s="151"/>
      <c r="K129" s="104"/>
      <c r="L129" s="104"/>
      <c r="M129" s="104"/>
      <c r="N129" s="151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  <c r="IW129" s="104"/>
      <c r="IX129" s="104"/>
      <c r="IY129" s="104"/>
      <c r="IZ129" s="104"/>
      <c r="JA129" s="104"/>
    </row>
    <row r="130" spans="1:261" x14ac:dyDescent="0.2">
      <c r="A130" s="104"/>
      <c r="B130" s="104"/>
      <c r="C130" s="104"/>
      <c r="D130" s="104"/>
      <c r="E130" s="104"/>
      <c r="F130" s="104"/>
      <c r="G130" s="104"/>
      <c r="H130" s="104"/>
      <c r="I130" s="104"/>
      <c r="J130" s="151"/>
      <c r="K130" s="104"/>
      <c r="L130" s="104"/>
      <c r="M130" s="104"/>
      <c r="N130" s="151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4"/>
      <c r="DB130" s="104"/>
      <c r="DC130" s="104"/>
      <c r="DD130" s="104"/>
      <c r="DE130" s="104"/>
      <c r="DF130" s="104"/>
      <c r="DG130" s="104"/>
      <c r="DH130" s="104"/>
      <c r="DI130" s="104"/>
      <c r="DJ130" s="104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  <c r="FB130" s="104"/>
      <c r="FC130" s="104"/>
      <c r="FD130" s="104"/>
      <c r="FE130" s="104"/>
      <c r="FF130" s="104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  <c r="HO130" s="104"/>
      <c r="HP130" s="104"/>
      <c r="HQ130" s="104"/>
      <c r="HR130" s="104"/>
      <c r="HS130" s="104"/>
      <c r="HT130" s="104"/>
      <c r="HU130" s="104"/>
      <c r="HV130" s="104"/>
      <c r="HW130" s="104"/>
      <c r="HX130" s="104"/>
      <c r="HY130" s="104"/>
      <c r="HZ130" s="104"/>
      <c r="IA130" s="104"/>
      <c r="IB130" s="104"/>
      <c r="IC130" s="104"/>
      <c r="ID130" s="104"/>
      <c r="IE130" s="104"/>
      <c r="IF130" s="104"/>
      <c r="IG130" s="104"/>
      <c r="IH130" s="104"/>
      <c r="II130" s="104"/>
      <c r="IJ130" s="104"/>
      <c r="IK130" s="104"/>
      <c r="IL130" s="104"/>
      <c r="IM130" s="104"/>
      <c r="IN130" s="104"/>
      <c r="IO130" s="104"/>
      <c r="IP130" s="104"/>
      <c r="IQ130" s="104"/>
      <c r="IR130" s="104"/>
      <c r="IS130" s="104"/>
      <c r="IT130" s="104"/>
      <c r="IU130" s="104"/>
      <c r="IV130" s="104"/>
      <c r="IW130" s="104"/>
      <c r="IX130" s="104"/>
      <c r="IY130" s="104"/>
      <c r="IZ130" s="104"/>
      <c r="JA130" s="104"/>
    </row>
    <row r="131" spans="1:261" x14ac:dyDescent="0.2">
      <c r="A131" s="104"/>
      <c r="B131" s="104"/>
      <c r="C131" s="104"/>
      <c r="D131" s="104"/>
      <c r="E131" s="104"/>
      <c r="F131" s="104"/>
      <c r="G131" s="104"/>
      <c r="H131" s="104"/>
      <c r="I131" s="104"/>
      <c r="J131" s="151"/>
      <c r="K131" s="104"/>
      <c r="L131" s="104"/>
      <c r="M131" s="104"/>
      <c r="N131" s="151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  <c r="DI131" s="104"/>
      <c r="DJ131" s="104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  <c r="IW131" s="104"/>
      <c r="IX131" s="104"/>
      <c r="IY131" s="104"/>
      <c r="IZ131" s="104"/>
      <c r="JA131" s="104"/>
    </row>
    <row r="132" spans="1:261" x14ac:dyDescent="0.2">
      <c r="A132" s="104"/>
      <c r="B132" s="104"/>
      <c r="C132" s="104"/>
      <c r="D132" s="104"/>
      <c r="E132" s="104"/>
      <c r="F132" s="104"/>
      <c r="G132" s="104"/>
      <c r="H132" s="104"/>
      <c r="I132" s="104"/>
      <c r="J132" s="151"/>
      <c r="K132" s="104"/>
      <c r="L132" s="104"/>
      <c r="M132" s="104"/>
      <c r="N132" s="151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  <c r="DI132" s="104"/>
      <c r="DJ132" s="104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  <c r="IW132" s="104"/>
      <c r="IX132" s="104"/>
      <c r="IY132" s="104"/>
      <c r="IZ132" s="104"/>
      <c r="JA132" s="104"/>
    </row>
    <row r="133" spans="1:261" x14ac:dyDescent="0.2">
      <c r="A133" s="104"/>
      <c r="B133" s="104"/>
      <c r="C133" s="104"/>
      <c r="D133" s="104"/>
      <c r="E133" s="104"/>
      <c r="F133" s="104"/>
      <c r="G133" s="104"/>
      <c r="H133" s="104"/>
      <c r="I133" s="104"/>
      <c r="J133" s="151"/>
      <c r="K133" s="104"/>
      <c r="L133" s="104"/>
      <c r="M133" s="104"/>
      <c r="N133" s="151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  <c r="IW133" s="104"/>
      <c r="IX133" s="104"/>
      <c r="IY133" s="104"/>
      <c r="IZ133" s="104"/>
      <c r="JA133" s="104"/>
    </row>
    <row r="134" spans="1:261" x14ac:dyDescent="0.2">
      <c r="A134" s="104"/>
      <c r="B134" s="104"/>
      <c r="C134" s="104"/>
      <c r="D134" s="104"/>
      <c r="E134" s="104"/>
      <c r="F134" s="104"/>
      <c r="G134" s="104"/>
      <c r="H134" s="104"/>
      <c r="I134" s="104"/>
      <c r="J134" s="151"/>
      <c r="K134" s="104"/>
      <c r="L134" s="104"/>
      <c r="M134" s="104"/>
      <c r="N134" s="151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  <c r="IW134" s="104"/>
      <c r="IX134" s="104"/>
      <c r="IY134" s="104"/>
      <c r="IZ134" s="104"/>
      <c r="JA134" s="104"/>
    </row>
    <row r="135" spans="1:261" x14ac:dyDescent="0.2">
      <c r="A135" s="104"/>
      <c r="B135" s="104"/>
      <c r="C135" s="104"/>
      <c r="D135" s="104"/>
      <c r="E135" s="104"/>
      <c r="F135" s="104"/>
      <c r="G135" s="104"/>
      <c r="H135" s="104"/>
      <c r="I135" s="104"/>
      <c r="J135" s="151"/>
      <c r="K135" s="104"/>
      <c r="L135" s="104"/>
      <c r="M135" s="104"/>
      <c r="N135" s="151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  <c r="IW135" s="104"/>
      <c r="IX135" s="104"/>
      <c r="IY135" s="104"/>
      <c r="IZ135" s="104"/>
      <c r="JA135" s="104"/>
    </row>
    <row r="136" spans="1:261" x14ac:dyDescent="0.2">
      <c r="A136" s="104"/>
      <c r="B136" s="104"/>
      <c r="C136" s="104"/>
      <c r="D136" s="104"/>
      <c r="E136" s="104"/>
      <c r="F136" s="104"/>
      <c r="G136" s="104"/>
      <c r="H136" s="104"/>
      <c r="I136" s="104"/>
      <c r="J136" s="151"/>
      <c r="K136" s="104"/>
      <c r="L136" s="104"/>
      <c r="M136" s="104"/>
      <c r="N136" s="151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  <c r="DI136" s="104"/>
      <c r="DJ136" s="104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104"/>
      <c r="DV136" s="104"/>
      <c r="DW136" s="104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  <c r="IW136" s="104"/>
      <c r="IX136" s="104"/>
      <c r="IY136" s="104"/>
      <c r="IZ136" s="104"/>
      <c r="JA136" s="104"/>
    </row>
    <row r="137" spans="1:261" x14ac:dyDescent="0.2">
      <c r="A137" s="104"/>
      <c r="B137" s="104"/>
      <c r="C137" s="104"/>
      <c r="D137" s="104"/>
      <c r="E137" s="104"/>
      <c r="F137" s="104"/>
      <c r="G137" s="104"/>
      <c r="H137" s="104"/>
      <c r="I137" s="104"/>
      <c r="J137" s="151"/>
      <c r="K137" s="104"/>
      <c r="L137" s="104"/>
      <c r="M137" s="104"/>
      <c r="N137" s="151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  <c r="IW137" s="104"/>
      <c r="IX137" s="104"/>
      <c r="IY137" s="104"/>
      <c r="IZ137" s="104"/>
      <c r="JA137" s="104"/>
    </row>
    <row r="138" spans="1:261" x14ac:dyDescent="0.2">
      <c r="A138" s="104"/>
      <c r="B138" s="104"/>
      <c r="C138" s="104"/>
      <c r="D138" s="104"/>
      <c r="E138" s="104"/>
      <c r="F138" s="104"/>
      <c r="G138" s="104"/>
      <c r="H138" s="104"/>
      <c r="I138" s="104"/>
      <c r="J138" s="151"/>
      <c r="K138" s="104"/>
      <c r="L138" s="104"/>
      <c r="M138" s="104"/>
      <c r="N138" s="151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  <c r="IW138" s="104"/>
      <c r="IX138" s="104"/>
      <c r="IY138" s="104"/>
      <c r="IZ138" s="104"/>
      <c r="JA138" s="104"/>
    </row>
    <row r="139" spans="1:261" x14ac:dyDescent="0.2">
      <c r="A139" s="104"/>
      <c r="B139" s="104"/>
      <c r="C139" s="104"/>
      <c r="D139" s="104"/>
      <c r="E139" s="104"/>
      <c r="F139" s="104"/>
      <c r="G139" s="104"/>
      <c r="H139" s="104"/>
      <c r="I139" s="104"/>
      <c r="J139" s="151"/>
      <c r="K139" s="104"/>
      <c r="L139" s="104"/>
      <c r="M139" s="104"/>
      <c r="N139" s="151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  <c r="IW139" s="104"/>
      <c r="IX139" s="104"/>
      <c r="IY139" s="104"/>
      <c r="IZ139" s="104"/>
      <c r="JA139" s="104"/>
    </row>
    <row r="140" spans="1:261" x14ac:dyDescent="0.2">
      <c r="A140" s="104"/>
      <c r="B140" s="104"/>
      <c r="C140" s="104"/>
      <c r="D140" s="104"/>
      <c r="E140" s="104"/>
      <c r="F140" s="104"/>
      <c r="G140" s="104"/>
      <c r="H140" s="104"/>
      <c r="I140" s="104"/>
      <c r="J140" s="151"/>
      <c r="K140" s="104"/>
      <c r="L140" s="104"/>
      <c r="M140" s="104"/>
      <c r="N140" s="151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  <c r="DI140" s="104"/>
      <c r="DJ140" s="104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104"/>
      <c r="DV140" s="104"/>
      <c r="DW140" s="104"/>
      <c r="DX140" s="104"/>
      <c r="DY140" s="104"/>
      <c r="DZ140" s="104"/>
      <c r="EA140" s="104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  <c r="IW140" s="104"/>
      <c r="IX140" s="104"/>
      <c r="IY140" s="104"/>
      <c r="IZ140" s="104"/>
      <c r="JA140" s="104"/>
    </row>
    <row r="141" spans="1:261" x14ac:dyDescent="0.2">
      <c r="A141" s="104"/>
      <c r="B141" s="104"/>
      <c r="C141" s="104"/>
      <c r="D141" s="104"/>
      <c r="E141" s="104"/>
      <c r="F141" s="104"/>
      <c r="G141" s="104"/>
      <c r="H141" s="104"/>
      <c r="I141" s="104"/>
      <c r="J141" s="151"/>
      <c r="K141" s="104"/>
      <c r="L141" s="104"/>
      <c r="M141" s="104"/>
      <c r="N141" s="151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  <c r="IW141" s="104"/>
      <c r="IX141" s="104"/>
      <c r="IY141" s="104"/>
      <c r="IZ141" s="104"/>
      <c r="JA141" s="104"/>
    </row>
    <row r="142" spans="1:261" x14ac:dyDescent="0.2">
      <c r="A142" s="104"/>
      <c r="B142" s="104"/>
      <c r="C142" s="104"/>
      <c r="D142" s="104"/>
      <c r="E142" s="104"/>
      <c r="F142" s="104"/>
      <c r="G142" s="104"/>
      <c r="H142" s="104"/>
      <c r="I142" s="104"/>
      <c r="J142" s="151"/>
      <c r="K142" s="104"/>
      <c r="L142" s="104"/>
      <c r="M142" s="104"/>
      <c r="N142" s="151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  <c r="IW142" s="104"/>
      <c r="IX142" s="104"/>
      <c r="IY142" s="104"/>
      <c r="IZ142" s="104"/>
      <c r="JA142" s="104"/>
    </row>
    <row r="143" spans="1:261" x14ac:dyDescent="0.2">
      <c r="A143" s="104"/>
      <c r="B143" s="104"/>
      <c r="C143" s="104"/>
      <c r="D143" s="104"/>
      <c r="E143" s="104"/>
      <c r="F143" s="104"/>
      <c r="G143" s="104"/>
      <c r="H143" s="104"/>
      <c r="I143" s="104"/>
      <c r="J143" s="151"/>
      <c r="K143" s="104"/>
      <c r="L143" s="104"/>
      <c r="M143" s="104"/>
      <c r="N143" s="151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  <c r="IW143" s="104"/>
      <c r="IX143" s="104"/>
      <c r="IY143" s="104"/>
      <c r="IZ143" s="104"/>
      <c r="JA143" s="104"/>
    </row>
    <row r="144" spans="1:261" x14ac:dyDescent="0.2">
      <c r="A144" s="104"/>
      <c r="B144" s="104"/>
      <c r="C144" s="104"/>
      <c r="D144" s="104"/>
      <c r="E144" s="104"/>
      <c r="F144" s="104"/>
      <c r="G144" s="104"/>
      <c r="H144" s="104"/>
      <c r="I144" s="104"/>
      <c r="J144" s="151"/>
      <c r="K144" s="104"/>
      <c r="L144" s="104"/>
      <c r="M144" s="104"/>
      <c r="N144" s="151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  <c r="IW144" s="104"/>
      <c r="IX144" s="104"/>
      <c r="IY144" s="104"/>
      <c r="IZ144" s="104"/>
      <c r="JA144" s="104"/>
    </row>
    <row r="145" spans="1:261" x14ac:dyDescent="0.2">
      <c r="A145" s="104"/>
      <c r="B145" s="104"/>
      <c r="C145" s="104"/>
      <c r="D145" s="104"/>
      <c r="E145" s="104"/>
      <c r="F145" s="104"/>
      <c r="G145" s="104"/>
      <c r="H145" s="104"/>
      <c r="I145" s="104"/>
      <c r="J145" s="151"/>
      <c r="K145" s="104"/>
      <c r="L145" s="104"/>
      <c r="M145" s="104"/>
      <c r="N145" s="151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  <c r="IW145" s="104"/>
      <c r="IX145" s="104"/>
      <c r="IY145" s="104"/>
      <c r="IZ145" s="104"/>
      <c r="JA145" s="104"/>
    </row>
    <row r="146" spans="1:261" x14ac:dyDescent="0.2">
      <c r="A146" s="104"/>
      <c r="B146" s="104"/>
      <c r="C146" s="104"/>
      <c r="D146" s="104"/>
      <c r="E146" s="104"/>
      <c r="F146" s="104"/>
      <c r="G146" s="104"/>
      <c r="H146" s="104"/>
      <c r="I146" s="104"/>
      <c r="J146" s="151"/>
      <c r="K146" s="104"/>
      <c r="L146" s="104"/>
      <c r="M146" s="104"/>
      <c r="N146" s="151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  <c r="IW146" s="104"/>
      <c r="IX146" s="104"/>
      <c r="IY146" s="104"/>
      <c r="IZ146" s="104"/>
      <c r="JA146" s="104"/>
    </row>
    <row r="147" spans="1:261" x14ac:dyDescent="0.2">
      <c r="A147" s="104"/>
      <c r="B147" s="104"/>
      <c r="C147" s="104"/>
      <c r="D147" s="104"/>
      <c r="E147" s="104"/>
      <c r="F147" s="104"/>
      <c r="G147" s="104"/>
      <c r="H147" s="104"/>
      <c r="I147" s="104"/>
      <c r="J147" s="151"/>
      <c r="K147" s="104"/>
      <c r="L147" s="104"/>
      <c r="M147" s="104"/>
      <c r="N147" s="151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  <c r="IW147" s="104"/>
      <c r="IX147" s="104"/>
      <c r="IY147" s="104"/>
      <c r="IZ147" s="104"/>
      <c r="JA147" s="104"/>
    </row>
    <row r="148" spans="1:261" x14ac:dyDescent="0.2">
      <c r="A148" s="104"/>
      <c r="B148" s="104"/>
      <c r="C148" s="104"/>
      <c r="D148" s="104"/>
      <c r="E148" s="104"/>
      <c r="F148" s="104"/>
      <c r="G148" s="104"/>
      <c r="H148" s="104"/>
      <c r="I148" s="104"/>
      <c r="J148" s="151"/>
      <c r="K148" s="104"/>
      <c r="L148" s="104"/>
      <c r="M148" s="104"/>
      <c r="N148" s="151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  <c r="IW148" s="104"/>
      <c r="IX148" s="104"/>
      <c r="IY148" s="104"/>
      <c r="IZ148" s="104"/>
      <c r="JA148" s="104"/>
    </row>
    <row r="149" spans="1:261" x14ac:dyDescent="0.2">
      <c r="A149" s="104"/>
      <c r="B149" s="104"/>
      <c r="C149" s="104"/>
      <c r="D149" s="104"/>
      <c r="E149" s="104"/>
      <c r="F149" s="104"/>
      <c r="G149" s="104"/>
      <c r="H149" s="104"/>
      <c r="I149" s="104"/>
      <c r="J149" s="151"/>
      <c r="K149" s="104"/>
      <c r="L149" s="104"/>
      <c r="M149" s="104"/>
      <c r="N149" s="151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  <c r="IW149" s="104"/>
      <c r="IX149" s="104"/>
      <c r="IY149" s="104"/>
      <c r="IZ149" s="104"/>
      <c r="JA149" s="104"/>
    </row>
    <row r="150" spans="1:261" x14ac:dyDescent="0.2">
      <c r="A150" s="104"/>
      <c r="B150" s="104"/>
      <c r="C150" s="104"/>
      <c r="D150" s="104"/>
      <c r="E150" s="104"/>
      <c r="F150" s="104"/>
      <c r="G150" s="104"/>
      <c r="H150" s="104"/>
      <c r="I150" s="104"/>
      <c r="J150" s="151"/>
      <c r="K150" s="104"/>
      <c r="L150" s="104"/>
      <c r="M150" s="104"/>
      <c r="N150" s="151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  <c r="IW150" s="104"/>
      <c r="IX150" s="104"/>
      <c r="IY150" s="104"/>
      <c r="IZ150" s="104"/>
      <c r="JA150" s="104"/>
    </row>
    <row r="151" spans="1:261" x14ac:dyDescent="0.2">
      <c r="A151" s="104"/>
      <c r="B151" s="104"/>
      <c r="C151" s="104"/>
      <c r="D151" s="104"/>
      <c r="E151" s="104"/>
      <c r="F151" s="104"/>
      <c r="G151" s="104"/>
      <c r="H151" s="104"/>
      <c r="I151" s="104"/>
      <c r="J151" s="151"/>
      <c r="K151" s="104"/>
      <c r="L151" s="104"/>
      <c r="M151" s="104"/>
      <c r="N151" s="151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  <c r="IW151" s="104"/>
      <c r="IX151" s="104"/>
      <c r="IY151" s="104"/>
      <c r="IZ151" s="104"/>
      <c r="JA151" s="104"/>
    </row>
    <row r="152" spans="1:261" x14ac:dyDescent="0.2">
      <c r="A152" s="104"/>
      <c r="B152" s="104"/>
      <c r="C152" s="104"/>
      <c r="D152" s="104"/>
      <c r="E152" s="104"/>
      <c r="F152" s="104"/>
      <c r="G152" s="104"/>
      <c r="H152" s="104"/>
      <c r="I152" s="104"/>
      <c r="J152" s="151"/>
      <c r="K152" s="104"/>
      <c r="L152" s="104"/>
      <c r="M152" s="104"/>
      <c r="N152" s="151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  <c r="DI152" s="104"/>
      <c r="DJ152" s="104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104"/>
      <c r="DV152" s="104"/>
      <c r="DW152" s="104"/>
      <c r="DX152" s="104"/>
      <c r="DY152" s="104"/>
      <c r="DZ152" s="104"/>
      <c r="EA152" s="104"/>
      <c r="EB152" s="104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  <c r="IW152" s="104"/>
      <c r="IX152" s="104"/>
      <c r="IY152" s="104"/>
      <c r="IZ152" s="104"/>
      <c r="JA152" s="104"/>
    </row>
    <row r="153" spans="1:261" x14ac:dyDescent="0.2">
      <c r="A153" s="104"/>
      <c r="B153" s="104"/>
      <c r="C153" s="104"/>
      <c r="D153" s="104"/>
      <c r="E153" s="104"/>
      <c r="F153" s="104"/>
      <c r="G153" s="104"/>
      <c r="H153" s="104"/>
      <c r="I153" s="104"/>
      <c r="J153" s="151"/>
      <c r="K153" s="104"/>
      <c r="L153" s="104"/>
      <c r="M153" s="104"/>
      <c r="N153" s="151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  <c r="IW153" s="104"/>
      <c r="IX153" s="104"/>
      <c r="IY153" s="104"/>
      <c r="IZ153" s="104"/>
      <c r="JA153" s="104"/>
    </row>
    <row r="154" spans="1:261" x14ac:dyDescent="0.2">
      <c r="A154" s="104"/>
      <c r="B154" s="104"/>
      <c r="C154" s="104"/>
      <c r="D154" s="104"/>
      <c r="E154" s="104"/>
      <c r="F154" s="104"/>
      <c r="G154" s="104"/>
      <c r="H154" s="104"/>
      <c r="I154" s="104"/>
      <c r="J154" s="151"/>
      <c r="K154" s="104"/>
      <c r="L154" s="104"/>
      <c r="M154" s="104"/>
      <c r="N154" s="151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  <c r="DI154" s="104"/>
      <c r="DJ154" s="104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104"/>
      <c r="DV154" s="104"/>
      <c r="DW154" s="104"/>
      <c r="DX154" s="104"/>
      <c r="DY154" s="104"/>
      <c r="DZ154" s="104"/>
      <c r="EA154" s="104"/>
      <c r="EB154" s="104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  <c r="IW154" s="104"/>
      <c r="IX154" s="104"/>
      <c r="IY154" s="104"/>
      <c r="IZ154" s="104"/>
      <c r="JA154" s="104"/>
    </row>
    <row r="155" spans="1:261" x14ac:dyDescent="0.2">
      <c r="A155" s="104"/>
      <c r="B155" s="104"/>
      <c r="C155" s="104"/>
      <c r="D155" s="104"/>
      <c r="E155" s="104"/>
      <c r="F155" s="104"/>
      <c r="G155" s="104"/>
      <c r="H155" s="104"/>
      <c r="I155" s="104"/>
      <c r="J155" s="151"/>
      <c r="K155" s="104"/>
      <c r="L155" s="104"/>
      <c r="M155" s="104"/>
      <c r="N155" s="151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  <c r="IW155" s="104"/>
      <c r="IX155" s="104"/>
      <c r="IY155" s="104"/>
      <c r="IZ155" s="104"/>
      <c r="JA155" s="104"/>
    </row>
    <row r="156" spans="1:261" x14ac:dyDescent="0.2">
      <c r="A156" s="104"/>
      <c r="B156" s="104"/>
      <c r="C156" s="104"/>
      <c r="D156" s="104"/>
      <c r="E156" s="104"/>
      <c r="F156" s="104"/>
      <c r="G156" s="104"/>
      <c r="H156" s="104"/>
      <c r="I156" s="104"/>
      <c r="J156" s="151"/>
      <c r="K156" s="104"/>
      <c r="L156" s="104"/>
      <c r="M156" s="104"/>
      <c r="N156" s="151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  <c r="IW156" s="104"/>
      <c r="IX156" s="104"/>
      <c r="IY156" s="104"/>
      <c r="IZ156" s="104"/>
      <c r="JA156" s="104"/>
    </row>
    <row r="157" spans="1:261" x14ac:dyDescent="0.2">
      <c r="A157" s="104"/>
      <c r="B157" s="104"/>
      <c r="C157" s="104"/>
      <c r="D157" s="104"/>
      <c r="E157" s="104"/>
      <c r="F157" s="104"/>
      <c r="G157" s="104"/>
      <c r="H157" s="104"/>
      <c r="I157" s="104"/>
      <c r="J157" s="151"/>
      <c r="K157" s="104"/>
      <c r="L157" s="104"/>
      <c r="M157" s="104"/>
      <c r="N157" s="151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  <c r="DI157" s="104"/>
      <c r="DJ157" s="104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104"/>
      <c r="DV157" s="104"/>
      <c r="DW157" s="104"/>
      <c r="DX157" s="104"/>
      <c r="DY157" s="104"/>
      <c r="DZ157" s="104"/>
      <c r="EA157" s="104"/>
      <c r="EB157" s="104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  <c r="IW157" s="104"/>
      <c r="IX157" s="104"/>
      <c r="IY157" s="104"/>
      <c r="IZ157" s="104"/>
      <c r="JA157" s="104"/>
    </row>
    <row r="158" spans="1:261" x14ac:dyDescent="0.2">
      <c r="A158" s="104"/>
      <c r="B158" s="104"/>
      <c r="C158" s="104"/>
      <c r="D158" s="104"/>
      <c r="E158" s="104"/>
      <c r="F158" s="104"/>
      <c r="G158" s="104"/>
      <c r="H158" s="104"/>
      <c r="I158" s="104"/>
      <c r="J158" s="151"/>
      <c r="K158" s="104"/>
      <c r="L158" s="104"/>
      <c r="M158" s="104"/>
      <c r="N158" s="151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  <c r="DI158" s="104"/>
      <c r="DJ158" s="104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104"/>
      <c r="DV158" s="104"/>
      <c r="DW158" s="104"/>
      <c r="DX158" s="104"/>
      <c r="DY158" s="104"/>
      <c r="DZ158" s="104"/>
      <c r="EA158" s="104"/>
      <c r="EB158" s="104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  <c r="IW158" s="104"/>
      <c r="IX158" s="104"/>
      <c r="IY158" s="104"/>
      <c r="IZ158" s="104"/>
      <c r="JA158" s="104"/>
    </row>
    <row r="159" spans="1:261" x14ac:dyDescent="0.2">
      <c r="A159" s="104"/>
      <c r="B159" s="104"/>
      <c r="C159" s="104"/>
      <c r="D159" s="104"/>
      <c r="E159" s="104"/>
      <c r="F159" s="104"/>
      <c r="G159" s="104"/>
      <c r="H159" s="104"/>
      <c r="I159" s="104"/>
      <c r="J159" s="151"/>
      <c r="K159" s="104"/>
      <c r="L159" s="104"/>
      <c r="M159" s="104"/>
      <c r="N159" s="151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  <c r="DI159" s="104"/>
      <c r="DJ159" s="104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104"/>
      <c r="DV159" s="104"/>
      <c r="DW159" s="104"/>
      <c r="DX159" s="104"/>
      <c r="DY159" s="104"/>
      <c r="DZ159" s="104"/>
      <c r="EA159" s="104"/>
      <c r="EB159" s="104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  <c r="IW159" s="104"/>
      <c r="IX159" s="104"/>
      <c r="IY159" s="104"/>
      <c r="IZ159" s="104"/>
      <c r="JA159" s="104"/>
    </row>
    <row r="160" spans="1:261" x14ac:dyDescent="0.2">
      <c r="A160" s="104"/>
      <c r="B160" s="104"/>
      <c r="C160" s="104"/>
      <c r="D160" s="104"/>
      <c r="E160" s="104"/>
      <c r="F160" s="104"/>
      <c r="G160" s="104"/>
      <c r="H160" s="104"/>
      <c r="I160" s="104"/>
      <c r="J160" s="151"/>
      <c r="K160" s="104"/>
      <c r="L160" s="104"/>
      <c r="M160" s="104"/>
      <c r="N160" s="151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</row>
    <row r="161" spans="1:261" x14ac:dyDescent="0.2">
      <c r="A161" s="104"/>
      <c r="B161" s="104"/>
      <c r="C161" s="104"/>
      <c r="D161" s="104"/>
      <c r="E161" s="104"/>
      <c r="F161" s="104"/>
      <c r="G161" s="104"/>
      <c r="H161" s="104"/>
      <c r="I161" s="104"/>
      <c r="J161" s="151"/>
      <c r="K161" s="104"/>
      <c r="L161" s="104"/>
      <c r="M161" s="104"/>
      <c r="N161" s="151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  <c r="DI161" s="104"/>
      <c r="DJ161" s="104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104"/>
      <c r="DV161" s="104"/>
      <c r="DW161" s="104"/>
      <c r="DX161" s="104"/>
      <c r="DY161" s="104"/>
      <c r="DZ161" s="104"/>
      <c r="EA161" s="104"/>
      <c r="EB161" s="104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  <c r="IW161" s="104"/>
      <c r="IX161" s="104"/>
      <c r="IY161" s="104"/>
      <c r="IZ161" s="104"/>
      <c r="JA161" s="104"/>
    </row>
    <row r="162" spans="1:261" x14ac:dyDescent="0.2">
      <c r="A162" s="104"/>
      <c r="B162" s="104"/>
      <c r="C162" s="104"/>
      <c r="D162" s="104"/>
      <c r="E162" s="104"/>
      <c r="F162" s="104"/>
      <c r="G162" s="104"/>
      <c r="H162" s="104"/>
      <c r="I162" s="104"/>
      <c r="J162" s="151"/>
      <c r="K162" s="104"/>
      <c r="L162" s="104"/>
      <c r="M162" s="104"/>
      <c r="N162" s="151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  <c r="DI162" s="104"/>
      <c r="DJ162" s="104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104"/>
      <c r="DV162" s="104"/>
      <c r="DW162" s="104"/>
      <c r="DX162" s="104"/>
      <c r="DY162" s="104"/>
      <c r="DZ162" s="104"/>
      <c r="EA162" s="104"/>
      <c r="EB162" s="104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  <c r="IW162" s="104"/>
      <c r="IX162" s="104"/>
      <c r="IY162" s="104"/>
      <c r="IZ162" s="104"/>
      <c r="JA162" s="104"/>
    </row>
    <row r="163" spans="1:261" x14ac:dyDescent="0.2">
      <c r="A163" s="104"/>
      <c r="B163" s="104"/>
      <c r="C163" s="104"/>
      <c r="D163" s="104"/>
      <c r="E163" s="104"/>
      <c r="F163" s="104"/>
      <c r="G163" s="104"/>
      <c r="H163" s="104"/>
      <c r="I163" s="104"/>
      <c r="J163" s="151"/>
      <c r="K163" s="104"/>
      <c r="L163" s="104"/>
      <c r="M163" s="104"/>
      <c r="N163" s="151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</row>
    <row r="164" spans="1:261" x14ac:dyDescent="0.2">
      <c r="A164" s="104"/>
      <c r="B164" s="104"/>
      <c r="C164" s="104"/>
      <c r="D164" s="104"/>
      <c r="E164" s="104"/>
      <c r="F164" s="104"/>
      <c r="G164" s="104"/>
      <c r="H164" s="104"/>
      <c r="I164" s="104"/>
      <c r="J164" s="151"/>
      <c r="K164" s="104"/>
      <c r="L164" s="104"/>
      <c r="M164" s="104"/>
      <c r="N164" s="151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  <c r="IW164" s="104"/>
      <c r="IX164" s="104"/>
      <c r="IY164" s="104"/>
      <c r="IZ164" s="104"/>
      <c r="JA164" s="104"/>
    </row>
    <row r="165" spans="1:261" x14ac:dyDescent="0.2">
      <c r="A165" s="104"/>
      <c r="B165" s="104"/>
      <c r="C165" s="104"/>
      <c r="D165" s="104"/>
      <c r="E165" s="104"/>
      <c r="F165" s="104"/>
      <c r="G165" s="104"/>
      <c r="H165" s="104"/>
      <c r="I165" s="104"/>
      <c r="J165" s="151"/>
      <c r="K165" s="104"/>
      <c r="L165" s="104"/>
      <c r="M165" s="104"/>
      <c r="N165" s="151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4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  <c r="IW165" s="104"/>
      <c r="IX165" s="104"/>
      <c r="IY165" s="104"/>
      <c r="IZ165" s="104"/>
      <c r="JA165" s="104"/>
    </row>
    <row r="166" spans="1:261" x14ac:dyDescent="0.2">
      <c r="A166" s="104"/>
      <c r="B166" s="104"/>
      <c r="C166" s="104"/>
      <c r="D166" s="104"/>
      <c r="E166" s="104"/>
      <c r="F166" s="104"/>
      <c r="G166" s="104"/>
      <c r="H166" s="104"/>
      <c r="I166" s="104"/>
      <c r="J166" s="151"/>
      <c r="K166" s="104"/>
      <c r="L166" s="104"/>
      <c r="M166" s="104"/>
      <c r="N166" s="151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  <c r="IW166" s="104"/>
      <c r="IX166" s="104"/>
      <c r="IY166" s="104"/>
      <c r="IZ166" s="104"/>
      <c r="JA166" s="104"/>
    </row>
    <row r="167" spans="1:261" x14ac:dyDescent="0.2">
      <c r="A167" s="104"/>
      <c r="B167" s="104"/>
      <c r="C167" s="104"/>
      <c r="D167" s="104"/>
      <c r="E167" s="104"/>
      <c r="F167" s="104"/>
      <c r="G167" s="104"/>
      <c r="H167" s="104"/>
      <c r="I167" s="104"/>
      <c r="J167" s="151"/>
      <c r="K167" s="104"/>
      <c r="L167" s="104"/>
      <c r="M167" s="104"/>
      <c r="N167" s="151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  <c r="DI167" s="104"/>
      <c r="DJ167" s="104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104"/>
      <c r="DV167" s="104"/>
      <c r="DW167" s="104"/>
      <c r="DX167" s="104"/>
      <c r="DY167" s="104"/>
      <c r="DZ167" s="104"/>
      <c r="EA167" s="104"/>
      <c r="EB167" s="104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04"/>
      <c r="EZ167" s="104"/>
      <c r="FA167" s="104"/>
      <c r="FB167" s="104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  <c r="IW167" s="104"/>
      <c r="IX167" s="104"/>
      <c r="IY167" s="104"/>
      <c r="IZ167" s="104"/>
      <c r="JA167" s="104"/>
    </row>
    <row r="168" spans="1:261" x14ac:dyDescent="0.2">
      <c r="A168" s="104"/>
      <c r="B168" s="104"/>
      <c r="C168" s="104"/>
      <c r="D168" s="104"/>
      <c r="E168" s="104"/>
      <c r="F168" s="104"/>
      <c r="G168" s="104"/>
      <c r="H168" s="104"/>
      <c r="I168" s="104"/>
      <c r="J168" s="151"/>
      <c r="K168" s="104"/>
      <c r="L168" s="104"/>
      <c r="M168" s="104"/>
      <c r="N168" s="151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04"/>
      <c r="EZ168" s="104"/>
      <c r="FA168" s="104"/>
      <c r="FB168" s="104"/>
      <c r="FC168" s="104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  <c r="IW168" s="104"/>
      <c r="IX168" s="104"/>
      <c r="IY168" s="104"/>
      <c r="IZ168" s="104"/>
      <c r="JA168" s="104"/>
    </row>
    <row r="169" spans="1:261" x14ac:dyDescent="0.2">
      <c r="A169" s="104"/>
      <c r="B169" s="104"/>
      <c r="C169" s="104"/>
      <c r="D169" s="104"/>
      <c r="E169" s="104"/>
      <c r="F169" s="104"/>
      <c r="G169" s="104"/>
      <c r="H169" s="104"/>
      <c r="I169" s="104"/>
      <c r="J169" s="151"/>
      <c r="K169" s="104"/>
      <c r="L169" s="104"/>
      <c r="M169" s="104"/>
      <c r="N169" s="151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4"/>
      <c r="FA169" s="104"/>
      <c r="FB169" s="104"/>
      <c r="FC169" s="104"/>
      <c r="FD169" s="104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  <c r="IW169" s="104"/>
      <c r="IX169" s="104"/>
      <c r="IY169" s="104"/>
      <c r="IZ169" s="104"/>
      <c r="JA169" s="104"/>
    </row>
    <row r="170" spans="1:261" x14ac:dyDescent="0.2">
      <c r="A170" s="104"/>
      <c r="B170" s="104"/>
      <c r="C170" s="104"/>
      <c r="D170" s="104"/>
      <c r="E170" s="104"/>
      <c r="F170" s="104"/>
      <c r="G170" s="104"/>
      <c r="H170" s="104"/>
      <c r="I170" s="104"/>
      <c r="J170" s="151"/>
      <c r="K170" s="104"/>
      <c r="L170" s="104"/>
      <c r="M170" s="104"/>
      <c r="N170" s="151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  <c r="IW170" s="104"/>
      <c r="IX170" s="104"/>
      <c r="IY170" s="104"/>
      <c r="IZ170" s="104"/>
      <c r="JA170" s="104"/>
    </row>
    <row r="171" spans="1:261" x14ac:dyDescent="0.2">
      <c r="A171" s="104"/>
      <c r="B171" s="104"/>
      <c r="C171" s="104"/>
      <c r="D171" s="104"/>
      <c r="E171" s="104"/>
      <c r="F171" s="104"/>
      <c r="G171" s="104"/>
      <c r="H171" s="104"/>
      <c r="I171" s="104"/>
      <c r="J171" s="151"/>
      <c r="K171" s="104"/>
      <c r="L171" s="104"/>
      <c r="M171" s="104"/>
      <c r="N171" s="151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  <c r="DI171" s="104"/>
      <c r="DJ171" s="104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104"/>
      <c r="DV171" s="104"/>
      <c r="DW171" s="104"/>
      <c r="DX171" s="104"/>
      <c r="DY171" s="104"/>
      <c r="DZ171" s="104"/>
      <c r="EA171" s="104"/>
      <c r="EB171" s="104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04"/>
      <c r="EZ171" s="104"/>
      <c r="FA171" s="104"/>
      <c r="FB171" s="104"/>
      <c r="FC171" s="104"/>
      <c r="FD171" s="104"/>
      <c r="FE171" s="104"/>
      <c r="FF171" s="104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  <c r="IW171" s="104"/>
      <c r="IX171" s="104"/>
      <c r="IY171" s="104"/>
      <c r="IZ171" s="104"/>
      <c r="JA171" s="104"/>
    </row>
    <row r="172" spans="1:261" x14ac:dyDescent="0.2">
      <c r="A172" s="104"/>
      <c r="B172" s="104"/>
      <c r="C172" s="104"/>
      <c r="D172" s="104"/>
      <c r="E172" s="104"/>
      <c r="F172" s="104"/>
      <c r="G172" s="104"/>
      <c r="H172" s="104"/>
      <c r="I172" s="104"/>
      <c r="J172" s="151"/>
      <c r="K172" s="104"/>
      <c r="L172" s="104"/>
      <c r="M172" s="104"/>
      <c r="N172" s="151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04"/>
      <c r="EZ172" s="104"/>
      <c r="FA172" s="104"/>
      <c r="FB172" s="104"/>
      <c r="FC172" s="104"/>
      <c r="FD172" s="104"/>
      <c r="FE172" s="104"/>
      <c r="FF172" s="104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  <c r="IW172" s="104"/>
      <c r="IX172" s="104"/>
      <c r="IY172" s="104"/>
      <c r="IZ172" s="104"/>
      <c r="JA172" s="104"/>
    </row>
    <row r="173" spans="1:261" x14ac:dyDescent="0.2">
      <c r="A173" s="104"/>
      <c r="B173" s="104"/>
      <c r="C173" s="104"/>
      <c r="D173" s="104"/>
      <c r="E173" s="104"/>
      <c r="F173" s="104"/>
      <c r="G173" s="104"/>
      <c r="H173" s="104"/>
      <c r="I173" s="104"/>
      <c r="J173" s="151"/>
      <c r="K173" s="104"/>
      <c r="L173" s="104"/>
      <c r="M173" s="104"/>
      <c r="N173" s="151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  <c r="CH173" s="104"/>
      <c r="CI173" s="104"/>
      <c r="CJ173" s="104"/>
      <c r="CK173" s="104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4"/>
      <c r="DB173" s="104"/>
      <c r="DC173" s="104"/>
      <c r="DD173" s="104"/>
      <c r="DE173" s="104"/>
      <c r="DF173" s="104"/>
      <c r="DG173" s="104"/>
      <c r="DH173" s="104"/>
      <c r="DI173" s="104"/>
      <c r="DJ173" s="104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104"/>
      <c r="DV173" s="104"/>
      <c r="DW173" s="104"/>
      <c r="DX173" s="104"/>
      <c r="DY173" s="104"/>
      <c r="DZ173" s="104"/>
      <c r="EA173" s="104"/>
      <c r="EB173" s="104"/>
      <c r="EC173" s="104"/>
      <c r="ED173" s="104"/>
      <c r="EE173" s="104"/>
      <c r="EF173" s="104"/>
      <c r="EG173" s="104"/>
      <c r="EH173" s="104"/>
      <c r="EI173" s="104"/>
      <c r="EJ173" s="104"/>
      <c r="EK173" s="104"/>
      <c r="EL173" s="104"/>
      <c r="EM173" s="104"/>
      <c r="EN173" s="104"/>
      <c r="EO173" s="104"/>
      <c r="EP173" s="104"/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4"/>
      <c r="FA173" s="104"/>
      <c r="FB173" s="104"/>
      <c r="FC173" s="104"/>
      <c r="FD173" s="104"/>
      <c r="FE173" s="104"/>
      <c r="FF173" s="104"/>
      <c r="FG173" s="104"/>
      <c r="FH173" s="104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  <c r="HO173" s="104"/>
      <c r="HP173" s="104"/>
      <c r="HQ173" s="104"/>
      <c r="HR173" s="104"/>
      <c r="HS173" s="104"/>
      <c r="HT173" s="104"/>
      <c r="HU173" s="104"/>
      <c r="HV173" s="104"/>
      <c r="HW173" s="104"/>
      <c r="HX173" s="104"/>
      <c r="HY173" s="104"/>
      <c r="HZ173" s="104"/>
      <c r="IA173" s="104"/>
      <c r="IB173" s="104"/>
      <c r="IC173" s="104"/>
      <c r="ID173" s="104"/>
      <c r="IE173" s="104"/>
      <c r="IF173" s="104"/>
      <c r="IG173" s="104"/>
      <c r="IH173" s="104"/>
      <c r="II173" s="104"/>
      <c r="IJ173" s="104"/>
      <c r="IK173" s="104"/>
      <c r="IL173" s="104"/>
      <c r="IM173" s="104"/>
      <c r="IN173" s="104"/>
      <c r="IO173" s="104"/>
      <c r="IP173" s="104"/>
      <c r="IQ173" s="104"/>
      <c r="IR173" s="104"/>
      <c r="IS173" s="104"/>
      <c r="IT173" s="104"/>
      <c r="IU173" s="104"/>
      <c r="IV173" s="104"/>
      <c r="IW173" s="104"/>
      <c r="IX173" s="104"/>
      <c r="IY173" s="104"/>
      <c r="IZ173" s="104"/>
      <c r="JA173" s="104"/>
    </row>
    <row r="174" spans="1:261" x14ac:dyDescent="0.2">
      <c r="A174" s="104"/>
      <c r="B174" s="104"/>
      <c r="C174" s="104"/>
      <c r="D174" s="104"/>
      <c r="E174" s="104"/>
      <c r="F174" s="104"/>
      <c r="G174" s="104"/>
      <c r="H174" s="104"/>
      <c r="I174" s="104"/>
      <c r="J174" s="151"/>
      <c r="K174" s="104"/>
      <c r="L174" s="104"/>
      <c r="M174" s="104"/>
      <c r="N174" s="151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4"/>
      <c r="DB174" s="104"/>
      <c r="DC174" s="104"/>
      <c r="DD174" s="104"/>
      <c r="DE174" s="104"/>
      <c r="DF174" s="104"/>
      <c r="DG174" s="104"/>
      <c r="DH174" s="104"/>
      <c r="DI174" s="104"/>
      <c r="DJ174" s="104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104"/>
      <c r="DV174" s="104"/>
      <c r="DW174" s="104"/>
      <c r="DX174" s="104"/>
      <c r="DY174" s="104"/>
      <c r="DZ174" s="104"/>
      <c r="EA174" s="104"/>
      <c r="EB174" s="104"/>
      <c r="EC174" s="104"/>
      <c r="ED174" s="104"/>
      <c r="EE174" s="104"/>
      <c r="EF174" s="104"/>
      <c r="EG174" s="104"/>
      <c r="EH174" s="104"/>
      <c r="EI174" s="104"/>
      <c r="EJ174" s="104"/>
      <c r="EK174" s="104"/>
      <c r="EL174" s="104"/>
      <c r="EM174" s="104"/>
      <c r="EN174" s="104"/>
      <c r="EO174" s="104"/>
      <c r="EP174" s="104"/>
      <c r="EQ174" s="104"/>
      <c r="ER174" s="104"/>
      <c r="ES174" s="104"/>
      <c r="ET174" s="104"/>
      <c r="EU174" s="104"/>
      <c r="EV174" s="104"/>
      <c r="EW174" s="104"/>
      <c r="EX174" s="104"/>
      <c r="EY174" s="104"/>
      <c r="EZ174" s="104"/>
      <c r="FA174" s="104"/>
      <c r="FB174" s="104"/>
      <c r="FC174" s="104"/>
      <c r="FD174" s="104"/>
      <c r="FE174" s="104"/>
      <c r="FF174" s="104"/>
      <c r="FG174" s="104"/>
      <c r="FH174" s="104"/>
      <c r="FI174" s="104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  <c r="HO174" s="104"/>
      <c r="HP174" s="104"/>
      <c r="HQ174" s="104"/>
      <c r="HR174" s="104"/>
      <c r="HS174" s="104"/>
      <c r="HT174" s="104"/>
      <c r="HU174" s="104"/>
      <c r="HV174" s="104"/>
      <c r="HW174" s="104"/>
      <c r="HX174" s="104"/>
      <c r="HY174" s="104"/>
      <c r="HZ174" s="104"/>
      <c r="IA174" s="104"/>
      <c r="IB174" s="104"/>
      <c r="IC174" s="104"/>
      <c r="ID174" s="104"/>
      <c r="IE174" s="104"/>
      <c r="IF174" s="104"/>
      <c r="IG174" s="104"/>
      <c r="IH174" s="104"/>
      <c r="II174" s="104"/>
      <c r="IJ174" s="104"/>
      <c r="IK174" s="104"/>
      <c r="IL174" s="104"/>
      <c r="IM174" s="104"/>
      <c r="IN174" s="104"/>
      <c r="IO174" s="104"/>
      <c r="IP174" s="104"/>
      <c r="IQ174" s="104"/>
      <c r="IR174" s="104"/>
      <c r="IS174" s="104"/>
      <c r="IT174" s="104"/>
      <c r="IU174" s="104"/>
      <c r="IV174" s="104"/>
      <c r="IW174" s="104"/>
      <c r="IX174" s="104"/>
      <c r="IY174" s="104"/>
      <c r="IZ174" s="104"/>
      <c r="JA174" s="104"/>
    </row>
    <row r="175" spans="1:261" x14ac:dyDescent="0.2">
      <c r="A175" s="104"/>
      <c r="B175" s="104"/>
      <c r="C175" s="104"/>
      <c r="D175" s="104"/>
      <c r="E175" s="104"/>
      <c r="F175" s="104"/>
      <c r="G175" s="104"/>
      <c r="H175" s="104"/>
      <c r="I175" s="104"/>
      <c r="J175" s="151"/>
      <c r="K175" s="104"/>
      <c r="L175" s="104"/>
      <c r="M175" s="104"/>
      <c r="N175" s="151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  <c r="CH175" s="104"/>
      <c r="CI175" s="104"/>
      <c r="CJ175" s="104"/>
      <c r="CK175" s="104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4"/>
      <c r="DB175" s="104"/>
      <c r="DC175" s="104"/>
      <c r="DD175" s="104"/>
      <c r="DE175" s="104"/>
      <c r="DF175" s="104"/>
      <c r="DG175" s="104"/>
      <c r="DH175" s="104"/>
      <c r="DI175" s="104"/>
      <c r="DJ175" s="104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104"/>
      <c r="DV175" s="104"/>
      <c r="DW175" s="104"/>
      <c r="DX175" s="104"/>
      <c r="DY175" s="104"/>
      <c r="DZ175" s="104"/>
      <c r="EA175" s="104"/>
      <c r="EB175" s="104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04"/>
      <c r="EZ175" s="104"/>
      <c r="FA175" s="104"/>
      <c r="FB175" s="104"/>
      <c r="FC175" s="104"/>
      <c r="FD175" s="104"/>
      <c r="FE175" s="104"/>
      <c r="FF175" s="104"/>
      <c r="FG175" s="104"/>
      <c r="FH175" s="104"/>
      <c r="FI175" s="104"/>
      <c r="FJ175" s="104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  <c r="HO175" s="104"/>
      <c r="HP175" s="104"/>
      <c r="HQ175" s="104"/>
      <c r="HR175" s="104"/>
      <c r="HS175" s="104"/>
      <c r="HT175" s="104"/>
      <c r="HU175" s="104"/>
      <c r="HV175" s="104"/>
      <c r="HW175" s="104"/>
      <c r="HX175" s="104"/>
      <c r="HY175" s="104"/>
      <c r="HZ175" s="104"/>
      <c r="IA175" s="104"/>
      <c r="IB175" s="104"/>
      <c r="IC175" s="104"/>
      <c r="ID175" s="104"/>
      <c r="IE175" s="104"/>
      <c r="IF175" s="104"/>
      <c r="IG175" s="104"/>
      <c r="IH175" s="104"/>
      <c r="II175" s="104"/>
      <c r="IJ175" s="104"/>
      <c r="IK175" s="104"/>
      <c r="IL175" s="104"/>
      <c r="IM175" s="104"/>
      <c r="IN175" s="104"/>
      <c r="IO175" s="104"/>
      <c r="IP175" s="104"/>
      <c r="IQ175" s="104"/>
      <c r="IR175" s="104"/>
      <c r="IS175" s="104"/>
      <c r="IT175" s="104"/>
      <c r="IU175" s="104"/>
      <c r="IV175" s="104"/>
      <c r="IW175" s="104"/>
      <c r="IX175" s="104"/>
      <c r="IY175" s="104"/>
      <c r="IZ175" s="104"/>
      <c r="JA175" s="104"/>
    </row>
    <row r="176" spans="1:261" x14ac:dyDescent="0.2">
      <c r="A176" s="104"/>
      <c r="B176" s="104"/>
      <c r="C176" s="104"/>
      <c r="D176" s="104"/>
      <c r="E176" s="104"/>
      <c r="F176" s="104"/>
      <c r="G176" s="104"/>
      <c r="H176" s="104"/>
      <c r="I176" s="104"/>
      <c r="J176" s="151"/>
      <c r="K176" s="104"/>
      <c r="L176" s="104"/>
      <c r="M176" s="104"/>
      <c r="N176" s="151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  <c r="IW176" s="104"/>
      <c r="IX176" s="104"/>
      <c r="IY176" s="104"/>
      <c r="IZ176" s="104"/>
      <c r="JA176" s="104"/>
    </row>
    <row r="177" spans="1:261" x14ac:dyDescent="0.2">
      <c r="A177" s="104"/>
      <c r="B177" s="104"/>
      <c r="C177" s="104"/>
      <c r="D177" s="104"/>
      <c r="E177" s="104"/>
      <c r="F177" s="104"/>
      <c r="G177" s="104"/>
      <c r="H177" s="104"/>
      <c r="I177" s="104"/>
      <c r="J177" s="151"/>
      <c r="K177" s="104"/>
      <c r="L177" s="104"/>
      <c r="M177" s="104"/>
      <c r="N177" s="151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4"/>
      <c r="FA177" s="104"/>
      <c r="FB177" s="104"/>
      <c r="FC177" s="104"/>
      <c r="FD177" s="104"/>
      <c r="FE177" s="104"/>
      <c r="FF177" s="104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  <c r="IW177" s="104"/>
      <c r="IX177" s="104"/>
      <c r="IY177" s="104"/>
      <c r="IZ177" s="104"/>
      <c r="JA177" s="104"/>
    </row>
    <row r="178" spans="1:261" x14ac:dyDescent="0.2">
      <c r="A178" s="104"/>
      <c r="B178" s="104"/>
      <c r="C178" s="104"/>
      <c r="D178" s="104"/>
      <c r="E178" s="104"/>
      <c r="F178" s="104"/>
      <c r="G178" s="104"/>
      <c r="H178" s="104"/>
      <c r="I178" s="104"/>
      <c r="J178" s="151"/>
      <c r="K178" s="104"/>
      <c r="L178" s="104"/>
      <c r="M178" s="104"/>
      <c r="N178" s="151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  <c r="DI178" s="104"/>
      <c r="DJ178" s="104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104"/>
      <c r="DV178" s="104"/>
      <c r="DW178" s="104"/>
      <c r="DX178" s="104"/>
      <c r="DY178" s="104"/>
      <c r="DZ178" s="104"/>
      <c r="EA178" s="104"/>
      <c r="EB178" s="104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4"/>
      <c r="EP178" s="104"/>
      <c r="EQ178" s="104"/>
      <c r="ER178" s="104"/>
      <c r="ES178" s="104"/>
      <c r="ET178" s="104"/>
      <c r="EU178" s="104"/>
      <c r="EV178" s="104"/>
      <c r="EW178" s="104"/>
      <c r="EX178" s="104"/>
      <c r="EY178" s="104"/>
      <c r="EZ178" s="104"/>
      <c r="FA178" s="104"/>
      <c r="FB178" s="104"/>
      <c r="FC178" s="104"/>
      <c r="FD178" s="104"/>
      <c r="FE178" s="104"/>
      <c r="FF178" s="104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  <c r="IW178" s="104"/>
      <c r="IX178" s="104"/>
      <c r="IY178" s="104"/>
      <c r="IZ178" s="104"/>
      <c r="JA178" s="104"/>
    </row>
    <row r="179" spans="1:261" x14ac:dyDescent="0.2">
      <c r="A179" s="104"/>
      <c r="B179" s="104"/>
      <c r="C179" s="104"/>
      <c r="D179" s="104"/>
      <c r="E179" s="104"/>
      <c r="F179" s="104"/>
      <c r="G179" s="104"/>
      <c r="H179" s="104"/>
      <c r="I179" s="104"/>
      <c r="J179" s="151"/>
      <c r="K179" s="104"/>
      <c r="L179" s="104"/>
      <c r="M179" s="104"/>
      <c r="N179" s="151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104"/>
      <c r="DV179" s="104"/>
      <c r="DW179" s="104"/>
      <c r="DX179" s="104"/>
      <c r="DY179" s="104"/>
      <c r="DZ179" s="104"/>
      <c r="EA179" s="104"/>
      <c r="EB179" s="104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04"/>
      <c r="EZ179" s="104"/>
      <c r="FA179" s="104"/>
      <c r="FB179" s="104"/>
      <c r="FC179" s="104"/>
      <c r="FD179" s="104"/>
      <c r="FE179" s="104"/>
      <c r="FF179" s="104"/>
      <c r="FG179" s="104"/>
      <c r="FH179" s="104"/>
      <c r="FI179" s="104"/>
      <c r="FJ179" s="104"/>
      <c r="FK179" s="104"/>
      <c r="FL179" s="104"/>
      <c r="FM179" s="104"/>
      <c r="FN179" s="104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  <c r="HO179" s="104"/>
      <c r="HP179" s="104"/>
      <c r="HQ179" s="104"/>
      <c r="HR179" s="104"/>
      <c r="HS179" s="104"/>
      <c r="HT179" s="104"/>
      <c r="HU179" s="104"/>
      <c r="HV179" s="104"/>
      <c r="HW179" s="104"/>
      <c r="HX179" s="104"/>
      <c r="HY179" s="104"/>
      <c r="HZ179" s="104"/>
      <c r="IA179" s="104"/>
      <c r="IB179" s="104"/>
      <c r="IC179" s="104"/>
      <c r="ID179" s="104"/>
      <c r="IE179" s="104"/>
      <c r="IF179" s="104"/>
      <c r="IG179" s="104"/>
      <c r="IH179" s="104"/>
      <c r="II179" s="104"/>
      <c r="IJ179" s="104"/>
      <c r="IK179" s="104"/>
      <c r="IL179" s="104"/>
      <c r="IM179" s="104"/>
      <c r="IN179" s="104"/>
      <c r="IO179" s="104"/>
      <c r="IP179" s="104"/>
      <c r="IQ179" s="104"/>
      <c r="IR179" s="104"/>
      <c r="IS179" s="104"/>
      <c r="IT179" s="104"/>
      <c r="IU179" s="104"/>
      <c r="IV179" s="104"/>
      <c r="IW179" s="104"/>
      <c r="IX179" s="104"/>
      <c r="IY179" s="104"/>
      <c r="IZ179" s="104"/>
      <c r="JA179" s="104"/>
    </row>
    <row r="180" spans="1:261" x14ac:dyDescent="0.2">
      <c r="A180" s="104"/>
      <c r="B180" s="104"/>
      <c r="C180" s="104"/>
      <c r="D180" s="104"/>
      <c r="E180" s="104"/>
      <c r="F180" s="104"/>
      <c r="G180" s="104"/>
      <c r="H180" s="104"/>
      <c r="I180" s="104"/>
      <c r="J180" s="151"/>
      <c r="K180" s="104"/>
      <c r="L180" s="104"/>
      <c r="M180" s="104"/>
      <c r="N180" s="151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4"/>
      <c r="DB180" s="104"/>
      <c r="DC180" s="104"/>
      <c r="DD180" s="104"/>
      <c r="DE180" s="104"/>
      <c r="DF180" s="104"/>
      <c r="DG180" s="104"/>
      <c r="DH180" s="104"/>
      <c r="DI180" s="104"/>
      <c r="DJ180" s="104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104"/>
      <c r="DV180" s="104"/>
      <c r="DW180" s="104"/>
      <c r="DX180" s="104"/>
      <c r="DY180" s="104"/>
      <c r="DZ180" s="104"/>
      <c r="EA180" s="104"/>
      <c r="EB180" s="104"/>
      <c r="EC180" s="104"/>
      <c r="ED180" s="104"/>
      <c r="EE180" s="104"/>
      <c r="EF180" s="104"/>
      <c r="EG180" s="104"/>
      <c r="EH180" s="104"/>
      <c r="EI180" s="104"/>
      <c r="EJ180" s="104"/>
      <c r="EK180" s="104"/>
      <c r="EL180" s="104"/>
      <c r="EM180" s="104"/>
      <c r="EN180" s="104"/>
      <c r="EO180" s="104"/>
      <c r="EP180" s="104"/>
      <c r="EQ180" s="104"/>
      <c r="ER180" s="104"/>
      <c r="ES180" s="104"/>
      <c r="ET180" s="104"/>
      <c r="EU180" s="104"/>
      <c r="EV180" s="104"/>
      <c r="EW180" s="104"/>
      <c r="EX180" s="104"/>
      <c r="EY180" s="104"/>
      <c r="EZ180" s="104"/>
      <c r="FA180" s="104"/>
      <c r="FB180" s="104"/>
      <c r="FC180" s="104"/>
      <c r="FD180" s="104"/>
      <c r="FE180" s="104"/>
      <c r="FF180" s="104"/>
      <c r="FG180" s="104"/>
      <c r="FH180" s="104"/>
      <c r="FI180" s="104"/>
      <c r="FJ180" s="104"/>
      <c r="FK180" s="104"/>
      <c r="FL180" s="104"/>
      <c r="FM180" s="104"/>
      <c r="FN180" s="104"/>
      <c r="FO180" s="104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  <c r="HO180" s="104"/>
      <c r="HP180" s="104"/>
      <c r="HQ180" s="104"/>
      <c r="HR180" s="104"/>
      <c r="HS180" s="104"/>
      <c r="HT180" s="104"/>
      <c r="HU180" s="104"/>
      <c r="HV180" s="104"/>
      <c r="HW180" s="104"/>
      <c r="HX180" s="104"/>
      <c r="HY180" s="104"/>
      <c r="HZ180" s="104"/>
      <c r="IA180" s="104"/>
      <c r="IB180" s="104"/>
      <c r="IC180" s="104"/>
      <c r="ID180" s="104"/>
      <c r="IE180" s="104"/>
      <c r="IF180" s="104"/>
      <c r="IG180" s="104"/>
      <c r="IH180" s="104"/>
      <c r="II180" s="104"/>
      <c r="IJ180" s="104"/>
      <c r="IK180" s="104"/>
      <c r="IL180" s="104"/>
      <c r="IM180" s="104"/>
      <c r="IN180" s="104"/>
      <c r="IO180" s="104"/>
      <c r="IP180" s="104"/>
      <c r="IQ180" s="104"/>
      <c r="IR180" s="104"/>
      <c r="IS180" s="104"/>
      <c r="IT180" s="104"/>
      <c r="IU180" s="104"/>
      <c r="IV180" s="104"/>
      <c r="IW180" s="104"/>
      <c r="IX180" s="104"/>
      <c r="IY180" s="104"/>
      <c r="IZ180" s="104"/>
      <c r="JA180" s="104"/>
    </row>
    <row r="181" spans="1:261" x14ac:dyDescent="0.2">
      <c r="A181" s="104"/>
      <c r="B181" s="104"/>
      <c r="C181" s="104"/>
      <c r="D181" s="104"/>
      <c r="E181" s="104"/>
      <c r="F181" s="104"/>
      <c r="G181" s="104"/>
      <c r="H181" s="104"/>
      <c r="I181" s="104"/>
      <c r="J181" s="151"/>
      <c r="K181" s="104"/>
      <c r="L181" s="104"/>
      <c r="M181" s="104"/>
      <c r="N181" s="151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4"/>
      <c r="FA181" s="104"/>
      <c r="FB181" s="104"/>
      <c r="FC181" s="104"/>
      <c r="FD181" s="104"/>
      <c r="FE181" s="104"/>
      <c r="FF181" s="104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  <c r="IW181" s="104"/>
      <c r="IX181" s="104"/>
      <c r="IY181" s="104"/>
      <c r="IZ181" s="104"/>
      <c r="JA181" s="104"/>
    </row>
    <row r="182" spans="1:261" x14ac:dyDescent="0.2">
      <c r="A182" s="104"/>
      <c r="B182" s="104"/>
      <c r="C182" s="104"/>
      <c r="D182" s="104"/>
      <c r="E182" s="104"/>
      <c r="F182" s="104"/>
      <c r="G182" s="104"/>
      <c r="H182" s="104"/>
      <c r="I182" s="104"/>
      <c r="J182" s="151"/>
      <c r="K182" s="104"/>
      <c r="L182" s="104"/>
      <c r="M182" s="104"/>
      <c r="N182" s="151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  <c r="IW182" s="104"/>
      <c r="IX182" s="104"/>
      <c r="IY182" s="104"/>
      <c r="IZ182" s="104"/>
      <c r="JA182" s="104"/>
    </row>
    <row r="183" spans="1:261" x14ac:dyDescent="0.2">
      <c r="A183" s="104"/>
      <c r="B183" s="104"/>
      <c r="C183" s="104"/>
      <c r="D183" s="104"/>
      <c r="E183" s="104"/>
      <c r="F183" s="104"/>
      <c r="G183" s="104"/>
      <c r="H183" s="104"/>
      <c r="I183" s="104"/>
      <c r="J183" s="151"/>
      <c r="K183" s="104"/>
      <c r="L183" s="104"/>
      <c r="M183" s="104"/>
      <c r="N183" s="151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  <c r="DI183" s="104"/>
      <c r="DJ183" s="104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104"/>
      <c r="DV183" s="104"/>
      <c r="DW183" s="104"/>
      <c r="DX183" s="104"/>
      <c r="DY183" s="104"/>
      <c r="DZ183" s="104"/>
      <c r="EA183" s="104"/>
      <c r="EB183" s="104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4"/>
      <c r="EP183" s="104"/>
      <c r="EQ183" s="104"/>
      <c r="ER183" s="104"/>
      <c r="ES183" s="104"/>
      <c r="ET183" s="104"/>
      <c r="EU183" s="104"/>
      <c r="EV183" s="104"/>
      <c r="EW183" s="104"/>
      <c r="EX183" s="104"/>
      <c r="EY183" s="104"/>
      <c r="EZ183" s="104"/>
      <c r="FA183" s="104"/>
      <c r="FB183" s="104"/>
      <c r="FC183" s="104"/>
      <c r="FD183" s="104"/>
      <c r="FE183" s="104"/>
      <c r="FF183" s="104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  <c r="IW183" s="104"/>
      <c r="IX183" s="104"/>
      <c r="IY183" s="104"/>
      <c r="IZ183" s="104"/>
      <c r="JA183" s="104"/>
    </row>
    <row r="184" spans="1:261" x14ac:dyDescent="0.2">
      <c r="A184" s="104"/>
      <c r="B184" s="104"/>
      <c r="C184" s="104"/>
      <c r="D184" s="104"/>
      <c r="E184" s="104"/>
      <c r="F184" s="104"/>
      <c r="G184" s="104"/>
      <c r="H184" s="104"/>
      <c r="I184" s="104"/>
      <c r="J184" s="151"/>
      <c r="K184" s="104"/>
      <c r="L184" s="104"/>
      <c r="M184" s="104"/>
      <c r="N184" s="151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104"/>
      <c r="DD184" s="104"/>
      <c r="DE184" s="104"/>
      <c r="DF184" s="104"/>
      <c r="DG184" s="104"/>
      <c r="DH184" s="104"/>
      <c r="DI184" s="104"/>
      <c r="DJ184" s="104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104"/>
      <c r="DV184" s="104"/>
      <c r="DW184" s="104"/>
      <c r="DX184" s="104"/>
      <c r="DY184" s="104"/>
      <c r="DZ184" s="104"/>
      <c r="EA184" s="104"/>
      <c r="EB184" s="104"/>
      <c r="EC184" s="104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104"/>
      <c r="EQ184" s="104"/>
      <c r="ER184" s="104"/>
      <c r="ES184" s="104"/>
      <c r="ET184" s="104"/>
      <c r="EU184" s="104"/>
      <c r="EV184" s="104"/>
      <c r="EW184" s="104"/>
      <c r="EX184" s="104"/>
      <c r="EY184" s="104"/>
      <c r="EZ184" s="104"/>
      <c r="FA184" s="104"/>
      <c r="FB184" s="104"/>
      <c r="FC184" s="104"/>
      <c r="FD184" s="104"/>
      <c r="FE184" s="104"/>
      <c r="FF184" s="104"/>
      <c r="FG184" s="104"/>
      <c r="FH184" s="104"/>
      <c r="FI184" s="104"/>
      <c r="FJ184" s="104"/>
      <c r="FK184" s="104"/>
      <c r="FL184" s="104"/>
      <c r="FM184" s="104"/>
      <c r="FN184" s="104"/>
      <c r="FO184" s="104"/>
      <c r="FP184" s="104"/>
      <c r="FQ184" s="104"/>
      <c r="FR184" s="104"/>
      <c r="FS184" s="104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  <c r="HO184" s="104"/>
      <c r="HP184" s="104"/>
      <c r="HQ184" s="104"/>
      <c r="HR184" s="104"/>
      <c r="HS184" s="104"/>
      <c r="HT184" s="104"/>
      <c r="HU184" s="104"/>
      <c r="HV184" s="104"/>
      <c r="HW184" s="104"/>
      <c r="HX184" s="104"/>
      <c r="HY184" s="104"/>
      <c r="HZ184" s="104"/>
      <c r="IA184" s="104"/>
      <c r="IB184" s="104"/>
      <c r="IC184" s="104"/>
      <c r="ID184" s="104"/>
      <c r="IE184" s="104"/>
      <c r="IF184" s="104"/>
      <c r="IG184" s="104"/>
      <c r="IH184" s="104"/>
      <c r="II184" s="104"/>
      <c r="IJ184" s="104"/>
      <c r="IK184" s="104"/>
      <c r="IL184" s="104"/>
      <c r="IM184" s="104"/>
      <c r="IN184" s="104"/>
      <c r="IO184" s="104"/>
      <c r="IP184" s="104"/>
      <c r="IQ184" s="104"/>
      <c r="IR184" s="104"/>
      <c r="IS184" s="104"/>
      <c r="IT184" s="104"/>
      <c r="IU184" s="104"/>
      <c r="IV184" s="104"/>
      <c r="IW184" s="104"/>
      <c r="IX184" s="104"/>
      <c r="IY184" s="104"/>
      <c r="IZ184" s="104"/>
      <c r="JA184" s="104"/>
    </row>
    <row r="185" spans="1:261" x14ac:dyDescent="0.2">
      <c r="A185" s="104"/>
      <c r="B185" s="104"/>
      <c r="C185" s="104"/>
      <c r="D185" s="104"/>
      <c r="E185" s="104"/>
      <c r="F185" s="104"/>
      <c r="G185" s="104"/>
      <c r="H185" s="104"/>
      <c r="I185" s="104"/>
      <c r="J185" s="151"/>
      <c r="K185" s="104"/>
      <c r="L185" s="104"/>
      <c r="M185" s="104"/>
      <c r="N185" s="151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104"/>
      <c r="FD185" s="104"/>
      <c r="FE185" s="104"/>
      <c r="FF185" s="104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  <c r="IW185" s="104"/>
      <c r="IX185" s="104"/>
      <c r="IY185" s="104"/>
      <c r="IZ185" s="104"/>
      <c r="JA185" s="104"/>
    </row>
    <row r="186" spans="1:261" x14ac:dyDescent="0.2">
      <c r="A186" s="104"/>
      <c r="B186" s="104"/>
      <c r="C186" s="104"/>
      <c r="D186" s="104"/>
      <c r="E186" s="104"/>
      <c r="F186" s="104"/>
      <c r="G186" s="104"/>
      <c r="H186" s="104"/>
      <c r="I186" s="104"/>
      <c r="J186" s="151"/>
      <c r="K186" s="104"/>
      <c r="L186" s="104"/>
      <c r="M186" s="104"/>
      <c r="N186" s="151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04"/>
      <c r="EZ186" s="104"/>
      <c r="FA186" s="104"/>
      <c r="FB186" s="104"/>
      <c r="FC186" s="104"/>
      <c r="FD186" s="104"/>
      <c r="FE186" s="104"/>
      <c r="FF186" s="104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  <c r="IU186" s="104"/>
      <c r="IV186" s="104"/>
      <c r="IW186" s="104"/>
      <c r="IX186" s="104"/>
      <c r="IY186" s="104"/>
      <c r="IZ186" s="104"/>
      <c r="JA186" s="104"/>
    </row>
    <row r="187" spans="1:261" x14ac:dyDescent="0.2">
      <c r="A187" s="104"/>
      <c r="B187" s="104"/>
      <c r="C187" s="104"/>
      <c r="D187" s="104"/>
      <c r="E187" s="104"/>
      <c r="F187" s="104"/>
      <c r="G187" s="104"/>
      <c r="H187" s="104"/>
      <c r="I187" s="104"/>
      <c r="J187" s="151"/>
      <c r="K187" s="104"/>
      <c r="L187" s="104"/>
      <c r="M187" s="104"/>
      <c r="N187" s="151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  <c r="CH187" s="104"/>
      <c r="CI187" s="104"/>
      <c r="CJ187" s="104"/>
      <c r="CK187" s="104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4"/>
      <c r="DB187" s="104"/>
      <c r="DC187" s="104"/>
      <c r="DD187" s="104"/>
      <c r="DE187" s="104"/>
      <c r="DF187" s="104"/>
      <c r="DG187" s="104"/>
      <c r="DH187" s="104"/>
      <c r="DI187" s="104"/>
      <c r="DJ187" s="104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104"/>
      <c r="DV187" s="104"/>
      <c r="DW187" s="104"/>
      <c r="DX187" s="104"/>
      <c r="DY187" s="104"/>
      <c r="DZ187" s="104"/>
      <c r="EA187" s="104"/>
      <c r="EB187" s="104"/>
      <c r="EC187" s="104"/>
      <c r="ED187" s="104"/>
      <c r="EE187" s="104"/>
      <c r="EF187" s="104"/>
      <c r="EG187" s="104"/>
      <c r="EH187" s="104"/>
      <c r="EI187" s="104"/>
      <c r="EJ187" s="104"/>
      <c r="EK187" s="104"/>
      <c r="EL187" s="104"/>
      <c r="EM187" s="104"/>
      <c r="EN187" s="104"/>
      <c r="EO187" s="104"/>
      <c r="EP187" s="104"/>
      <c r="EQ187" s="104"/>
      <c r="ER187" s="104"/>
      <c r="ES187" s="104"/>
      <c r="ET187" s="104"/>
      <c r="EU187" s="104"/>
      <c r="EV187" s="104"/>
      <c r="EW187" s="104"/>
      <c r="EX187" s="104"/>
      <c r="EY187" s="104"/>
      <c r="EZ187" s="104"/>
      <c r="FA187" s="104"/>
      <c r="FB187" s="104"/>
      <c r="FC187" s="104"/>
      <c r="FD187" s="104"/>
      <c r="FE187" s="104"/>
      <c r="FF187" s="104"/>
      <c r="FG187" s="104"/>
      <c r="FH187" s="104"/>
      <c r="FI187" s="104"/>
      <c r="FJ187" s="104"/>
      <c r="FK187" s="104"/>
      <c r="FL187" s="104"/>
      <c r="FM187" s="104"/>
      <c r="FN187" s="104"/>
      <c r="FO187" s="104"/>
      <c r="FP187" s="104"/>
      <c r="FQ187" s="104"/>
      <c r="FR187" s="104"/>
      <c r="FS187" s="104"/>
      <c r="FT187" s="104"/>
      <c r="FU187" s="104"/>
      <c r="FV187" s="104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  <c r="HO187" s="104"/>
      <c r="HP187" s="104"/>
      <c r="HQ187" s="104"/>
      <c r="HR187" s="104"/>
      <c r="HS187" s="104"/>
      <c r="HT187" s="104"/>
      <c r="HU187" s="104"/>
      <c r="HV187" s="104"/>
      <c r="HW187" s="104"/>
      <c r="HX187" s="104"/>
      <c r="HY187" s="104"/>
      <c r="HZ187" s="104"/>
      <c r="IA187" s="104"/>
      <c r="IB187" s="104"/>
      <c r="IC187" s="104"/>
      <c r="ID187" s="104"/>
      <c r="IE187" s="104"/>
      <c r="IF187" s="104"/>
      <c r="IG187" s="104"/>
      <c r="IH187" s="104"/>
      <c r="II187" s="104"/>
      <c r="IJ187" s="104"/>
      <c r="IK187" s="104"/>
      <c r="IL187" s="104"/>
      <c r="IM187" s="104"/>
      <c r="IN187" s="104"/>
      <c r="IO187" s="104"/>
      <c r="IP187" s="104"/>
      <c r="IQ187" s="104"/>
      <c r="IR187" s="104"/>
      <c r="IS187" s="104"/>
      <c r="IT187" s="104"/>
      <c r="IU187" s="104"/>
      <c r="IV187" s="104"/>
      <c r="IW187" s="104"/>
      <c r="IX187" s="104"/>
      <c r="IY187" s="104"/>
      <c r="IZ187" s="104"/>
      <c r="JA187" s="104"/>
    </row>
    <row r="188" spans="1:261" x14ac:dyDescent="0.2">
      <c r="A188" s="104"/>
      <c r="B188" s="104"/>
      <c r="C188" s="104"/>
      <c r="D188" s="104"/>
      <c r="E188" s="104"/>
      <c r="F188" s="104"/>
      <c r="G188" s="104"/>
      <c r="H188" s="104"/>
      <c r="I188" s="104"/>
      <c r="J188" s="151"/>
      <c r="K188" s="104"/>
      <c r="L188" s="104"/>
      <c r="M188" s="104"/>
      <c r="N188" s="151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  <c r="CH188" s="104"/>
      <c r="CI188" s="104"/>
      <c r="CJ188" s="104"/>
      <c r="CK188" s="104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4"/>
      <c r="DB188" s="104"/>
      <c r="DC188" s="104"/>
      <c r="DD188" s="104"/>
      <c r="DE188" s="104"/>
      <c r="DF188" s="104"/>
      <c r="DG188" s="104"/>
      <c r="DH188" s="104"/>
      <c r="DI188" s="104"/>
      <c r="DJ188" s="104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104"/>
      <c r="DV188" s="104"/>
      <c r="DW188" s="104"/>
      <c r="DX188" s="104"/>
      <c r="DY188" s="104"/>
      <c r="DZ188" s="104"/>
      <c r="EA188" s="104"/>
      <c r="EB188" s="104"/>
      <c r="EC188" s="104"/>
      <c r="ED188" s="104"/>
      <c r="EE188" s="104"/>
      <c r="EF188" s="104"/>
      <c r="EG188" s="104"/>
      <c r="EH188" s="104"/>
      <c r="EI188" s="104"/>
      <c r="EJ188" s="104"/>
      <c r="EK188" s="104"/>
      <c r="EL188" s="104"/>
      <c r="EM188" s="104"/>
      <c r="EN188" s="104"/>
      <c r="EO188" s="104"/>
      <c r="EP188" s="104"/>
      <c r="EQ188" s="104"/>
      <c r="ER188" s="104"/>
      <c r="ES188" s="104"/>
      <c r="ET188" s="104"/>
      <c r="EU188" s="104"/>
      <c r="EV188" s="104"/>
      <c r="EW188" s="104"/>
      <c r="EX188" s="104"/>
      <c r="EY188" s="104"/>
      <c r="EZ188" s="104"/>
      <c r="FA188" s="104"/>
      <c r="FB188" s="104"/>
      <c r="FC188" s="104"/>
      <c r="FD188" s="104"/>
      <c r="FE188" s="104"/>
      <c r="FF188" s="104"/>
      <c r="FG188" s="104"/>
      <c r="FH188" s="104"/>
      <c r="FI188" s="104"/>
      <c r="FJ188" s="104"/>
      <c r="FK188" s="104"/>
      <c r="FL188" s="104"/>
      <c r="FM188" s="104"/>
      <c r="FN188" s="104"/>
      <c r="FO188" s="104"/>
      <c r="FP188" s="104"/>
      <c r="FQ188" s="104"/>
      <c r="FR188" s="104"/>
      <c r="FS188" s="104"/>
      <c r="FT188" s="104"/>
      <c r="FU188" s="104"/>
      <c r="FV188" s="104"/>
      <c r="FW188" s="104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  <c r="HO188" s="104"/>
      <c r="HP188" s="104"/>
      <c r="HQ188" s="104"/>
      <c r="HR188" s="104"/>
      <c r="HS188" s="104"/>
      <c r="HT188" s="104"/>
      <c r="HU188" s="104"/>
      <c r="HV188" s="104"/>
      <c r="HW188" s="104"/>
      <c r="HX188" s="104"/>
      <c r="HY188" s="104"/>
      <c r="HZ188" s="104"/>
      <c r="IA188" s="104"/>
      <c r="IB188" s="104"/>
      <c r="IC188" s="104"/>
      <c r="ID188" s="104"/>
      <c r="IE188" s="104"/>
      <c r="IF188" s="104"/>
      <c r="IG188" s="104"/>
      <c r="IH188" s="104"/>
      <c r="II188" s="104"/>
      <c r="IJ188" s="104"/>
      <c r="IK188" s="104"/>
      <c r="IL188" s="104"/>
      <c r="IM188" s="104"/>
      <c r="IN188" s="104"/>
      <c r="IO188" s="104"/>
      <c r="IP188" s="104"/>
      <c r="IQ188" s="104"/>
      <c r="IR188" s="104"/>
      <c r="IS188" s="104"/>
      <c r="IT188" s="104"/>
      <c r="IU188" s="104"/>
      <c r="IV188" s="104"/>
      <c r="IW188" s="104"/>
      <c r="IX188" s="104"/>
      <c r="IY188" s="104"/>
      <c r="IZ188" s="104"/>
      <c r="JA188" s="104"/>
    </row>
    <row r="189" spans="1:261" x14ac:dyDescent="0.2">
      <c r="A189" s="104"/>
      <c r="B189" s="104"/>
      <c r="C189" s="104"/>
      <c r="D189" s="104"/>
      <c r="E189" s="104"/>
      <c r="F189" s="104"/>
      <c r="G189" s="104"/>
      <c r="H189" s="104"/>
      <c r="I189" s="104"/>
      <c r="J189" s="151"/>
      <c r="K189" s="104"/>
      <c r="L189" s="104"/>
      <c r="M189" s="104"/>
      <c r="N189" s="151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  <c r="CH189" s="104"/>
      <c r="CI189" s="104"/>
      <c r="CJ189" s="104"/>
      <c r="CK189" s="104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4"/>
      <c r="DB189" s="104"/>
      <c r="DC189" s="104"/>
      <c r="DD189" s="104"/>
      <c r="DE189" s="104"/>
      <c r="DF189" s="104"/>
      <c r="DG189" s="104"/>
      <c r="DH189" s="104"/>
      <c r="DI189" s="104"/>
      <c r="DJ189" s="104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104"/>
      <c r="DV189" s="104"/>
      <c r="DW189" s="104"/>
      <c r="DX189" s="104"/>
      <c r="DY189" s="104"/>
      <c r="DZ189" s="104"/>
      <c r="EA189" s="104"/>
      <c r="EB189" s="104"/>
      <c r="EC189" s="104"/>
      <c r="ED189" s="104"/>
      <c r="EE189" s="104"/>
      <c r="EF189" s="104"/>
      <c r="EG189" s="104"/>
      <c r="EH189" s="104"/>
      <c r="EI189" s="104"/>
      <c r="EJ189" s="104"/>
      <c r="EK189" s="104"/>
      <c r="EL189" s="104"/>
      <c r="EM189" s="104"/>
      <c r="EN189" s="104"/>
      <c r="EO189" s="104"/>
      <c r="EP189" s="104"/>
      <c r="EQ189" s="104"/>
      <c r="ER189" s="104"/>
      <c r="ES189" s="104"/>
      <c r="ET189" s="104"/>
      <c r="EU189" s="104"/>
      <c r="EV189" s="104"/>
      <c r="EW189" s="104"/>
      <c r="EX189" s="104"/>
      <c r="EY189" s="104"/>
      <c r="EZ189" s="104"/>
      <c r="FA189" s="104"/>
      <c r="FB189" s="104"/>
      <c r="FC189" s="104"/>
      <c r="FD189" s="104"/>
      <c r="FE189" s="104"/>
      <c r="FF189" s="104"/>
      <c r="FG189" s="104"/>
      <c r="FH189" s="104"/>
      <c r="FI189" s="104"/>
      <c r="FJ189" s="104"/>
      <c r="FK189" s="104"/>
      <c r="FL189" s="104"/>
      <c r="FM189" s="104"/>
      <c r="FN189" s="104"/>
      <c r="FO189" s="104"/>
      <c r="FP189" s="104"/>
      <c r="FQ189" s="104"/>
      <c r="FR189" s="104"/>
      <c r="FS189" s="104"/>
      <c r="FT189" s="104"/>
      <c r="FU189" s="104"/>
      <c r="FV189" s="104"/>
      <c r="FW189" s="104"/>
      <c r="FX189" s="104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  <c r="HO189" s="104"/>
      <c r="HP189" s="104"/>
      <c r="HQ189" s="104"/>
      <c r="HR189" s="104"/>
      <c r="HS189" s="104"/>
      <c r="HT189" s="104"/>
      <c r="HU189" s="104"/>
      <c r="HV189" s="104"/>
      <c r="HW189" s="104"/>
      <c r="HX189" s="104"/>
      <c r="HY189" s="104"/>
      <c r="HZ189" s="104"/>
      <c r="IA189" s="104"/>
      <c r="IB189" s="104"/>
      <c r="IC189" s="104"/>
      <c r="ID189" s="104"/>
      <c r="IE189" s="104"/>
      <c r="IF189" s="104"/>
      <c r="IG189" s="104"/>
      <c r="IH189" s="104"/>
      <c r="II189" s="104"/>
      <c r="IJ189" s="104"/>
      <c r="IK189" s="104"/>
      <c r="IL189" s="104"/>
      <c r="IM189" s="104"/>
      <c r="IN189" s="104"/>
      <c r="IO189" s="104"/>
      <c r="IP189" s="104"/>
      <c r="IQ189" s="104"/>
      <c r="IR189" s="104"/>
      <c r="IS189" s="104"/>
      <c r="IT189" s="104"/>
      <c r="IU189" s="104"/>
      <c r="IV189" s="104"/>
      <c r="IW189" s="104"/>
      <c r="IX189" s="104"/>
      <c r="IY189" s="104"/>
      <c r="IZ189" s="104"/>
      <c r="JA189" s="104"/>
    </row>
    <row r="190" spans="1:261" x14ac:dyDescent="0.2">
      <c r="A190" s="104"/>
      <c r="B190" s="104"/>
      <c r="C190" s="104"/>
      <c r="D190" s="104"/>
      <c r="E190" s="104"/>
      <c r="F190" s="104"/>
      <c r="G190" s="104"/>
      <c r="H190" s="104"/>
      <c r="I190" s="104"/>
      <c r="J190" s="151"/>
      <c r="K190" s="104"/>
      <c r="L190" s="104"/>
      <c r="M190" s="104"/>
      <c r="N190" s="151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DI190" s="104"/>
      <c r="DJ190" s="104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104"/>
      <c r="DV190" s="104"/>
      <c r="DW190" s="104"/>
      <c r="DX190" s="104"/>
      <c r="DY190" s="104"/>
      <c r="DZ190" s="104"/>
      <c r="EA190" s="104"/>
      <c r="EB190" s="104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4"/>
      <c r="EP190" s="104"/>
      <c r="EQ190" s="104"/>
      <c r="ER190" s="104"/>
      <c r="ES190" s="104"/>
      <c r="ET190" s="104"/>
      <c r="EU190" s="104"/>
      <c r="EV190" s="104"/>
      <c r="EW190" s="104"/>
      <c r="EX190" s="104"/>
      <c r="EY190" s="104"/>
      <c r="EZ190" s="104"/>
      <c r="FA190" s="104"/>
      <c r="FB190" s="104"/>
      <c r="FC190" s="104"/>
      <c r="FD190" s="104"/>
      <c r="FE190" s="104"/>
      <c r="FF190" s="104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  <c r="IW190" s="104"/>
      <c r="IX190" s="104"/>
      <c r="IY190" s="104"/>
      <c r="IZ190" s="104"/>
      <c r="JA190" s="104"/>
    </row>
    <row r="191" spans="1:261" x14ac:dyDescent="0.2">
      <c r="A191" s="104"/>
      <c r="B191" s="104"/>
      <c r="C191" s="104"/>
      <c r="D191" s="104"/>
      <c r="E191" s="104"/>
      <c r="F191" s="104"/>
      <c r="G191" s="104"/>
      <c r="H191" s="104"/>
      <c r="I191" s="104"/>
      <c r="J191" s="151"/>
      <c r="K191" s="104"/>
      <c r="L191" s="104"/>
      <c r="M191" s="104"/>
      <c r="N191" s="151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04"/>
      <c r="EZ191" s="104"/>
      <c r="FA191" s="104"/>
      <c r="FB191" s="104"/>
      <c r="FC191" s="104"/>
      <c r="FD191" s="104"/>
      <c r="FE191" s="104"/>
      <c r="FF191" s="104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  <c r="IU191" s="104"/>
      <c r="IV191" s="104"/>
      <c r="IW191" s="104"/>
      <c r="IX191" s="104"/>
      <c r="IY191" s="104"/>
      <c r="IZ191" s="104"/>
      <c r="JA191" s="104"/>
    </row>
    <row r="192" spans="1:261" x14ac:dyDescent="0.2">
      <c r="A192" s="104"/>
      <c r="B192" s="104"/>
      <c r="C192" s="104"/>
      <c r="D192" s="104"/>
      <c r="E192" s="104"/>
      <c r="F192" s="104"/>
      <c r="G192" s="104"/>
      <c r="H192" s="104"/>
      <c r="I192" s="104"/>
      <c r="J192" s="151"/>
      <c r="K192" s="104"/>
      <c r="L192" s="104"/>
      <c r="M192" s="104"/>
      <c r="N192" s="151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04"/>
      <c r="EZ192" s="104"/>
      <c r="FA192" s="104"/>
      <c r="FB192" s="104"/>
      <c r="FC192" s="104"/>
      <c r="FD192" s="104"/>
      <c r="FE192" s="104"/>
      <c r="FF192" s="104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  <c r="IU192" s="104"/>
      <c r="IV192" s="104"/>
      <c r="IW192" s="104"/>
      <c r="IX192" s="104"/>
      <c r="IY192" s="104"/>
      <c r="IZ192" s="104"/>
      <c r="JA192" s="104"/>
    </row>
    <row r="193" spans="1:261" x14ac:dyDescent="0.2">
      <c r="A193" s="104"/>
      <c r="B193" s="104"/>
      <c r="C193" s="104"/>
      <c r="D193" s="104"/>
      <c r="E193" s="104"/>
      <c r="F193" s="104"/>
      <c r="G193" s="104"/>
      <c r="H193" s="104"/>
      <c r="I193" s="104"/>
      <c r="J193" s="151"/>
      <c r="K193" s="104"/>
      <c r="L193" s="104"/>
      <c r="M193" s="104"/>
      <c r="N193" s="151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  <c r="IW193" s="104"/>
      <c r="IX193" s="104"/>
      <c r="IY193" s="104"/>
      <c r="IZ193" s="104"/>
      <c r="JA193" s="104"/>
    </row>
    <row r="194" spans="1:261" x14ac:dyDescent="0.2">
      <c r="B194" s="104"/>
      <c r="C194" s="104"/>
      <c r="D194" s="104"/>
      <c r="E194" s="104"/>
      <c r="F194" s="104"/>
      <c r="G194" s="104"/>
      <c r="H194" s="104"/>
      <c r="I194" s="104"/>
      <c r="J194" s="151"/>
      <c r="K194" s="104"/>
      <c r="L194" s="104"/>
      <c r="M194" s="104"/>
      <c r="N194" s="151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04"/>
      <c r="EZ194" s="104"/>
      <c r="FA194" s="104"/>
      <c r="FB194" s="104"/>
      <c r="FC194" s="104"/>
      <c r="FD194" s="104"/>
      <c r="FE194" s="104"/>
      <c r="FF194" s="104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  <c r="IW194" s="104"/>
      <c r="IX194" s="104"/>
      <c r="IY194" s="104"/>
      <c r="IZ194" s="104"/>
      <c r="JA194" s="104"/>
    </row>
    <row r="195" spans="1:261" x14ac:dyDescent="0.2">
      <c r="B195" s="104"/>
      <c r="C195" s="104"/>
      <c r="D195" s="104"/>
      <c r="E195" s="104"/>
      <c r="F195" s="104"/>
      <c r="G195" s="104"/>
      <c r="H195" s="104"/>
      <c r="I195" s="104"/>
      <c r="J195" s="151"/>
      <c r="K195" s="104"/>
      <c r="L195" s="104"/>
      <c r="M195" s="104"/>
      <c r="N195" s="151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04"/>
      <c r="EZ195" s="104"/>
      <c r="FA195" s="104"/>
      <c r="FB195" s="104"/>
      <c r="FC195" s="104"/>
      <c r="FD195" s="104"/>
      <c r="FE195" s="104"/>
      <c r="FF195" s="104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  <c r="IU195" s="104"/>
      <c r="IV195" s="104"/>
      <c r="IW195" s="104"/>
      <c r="IX195" s="104"/>
      <c r="IY195" s="104"/>
      <c r="IZ195" s="104"/>
      <c r="JA195" s="104"/>
    </row>
    <row r="196" spans="1:261" x14ac:dyDescent="0.2">
      <c r="B196" s="104"/>
      <c r="C196" s="104"/>
      <c r="D196" s="104"/>
      <c r="E196" s="104"/>
      <c r="F196" s="104"/>
      <c r="G196" s="104"/>
      <c r="H196" s="104"/>
      <c r="I196" s="104"/>
      <c r="J196" s="151"/>
      <c r="K196" s="104"/>
      <c r="L196" s="104"/>
      <c r="M196" s="104"/>
      <c r="N196" s="151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  <c r="CH196" s="104"/>
      <c r="CI196" s="104"/>
      <c r="CJ196" s="104"/>
      <c r="CK196" s="104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4"/>
      <c r="DB196" s="104"/>
      <c r="DC196" s="104"/>
      <c r="DD196" s="104"/>
      <c r="DE196" s="104"/>
      <c r="DF196" s="104"/>
      <c r="DG196" s="104"/>
      <c r="DH196" s="104"/>
      <c r="DI196" s="104"/>
      <c r="DJ196" s="104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04"/>
      <c r="EZ196" s="104"/>
      <c r="FA196" s="104"/>
      <c r="FB196" s="104"/>
      <c r="FC196" s="104"/>
      <c r="FD196" s="104"/>
      <c r="FE196" s="104"/>
      <c r="FF196" s="104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  <c r="IU196" s="104"/>
      <c r="IV196" s="104"/>
      <c r="IW196" s="104"/>
      <c r="IX196" s="104"/>
      <c r="IY196" s="104"/>
      <c r="IZ196" s="104"/>
      <c r="JA196" s="104"/>
    </row>
    <row r="197" spans="1:261" x14ac:dyDescent="0.2">
      <c r="B197" s="104"/>
      <c r="C197" s="104"/>
      <c r="D197" s="104"/>
      <c r="E197" s="104"/>
      <c r="F197" s="104"/>
      <c r="G197" s="104"/>
      <c r="H197" s="104"/>
      <c r="I197" s="104"/>
      <c r="J197" s="151"/>
      <c r="K197" s="104"/>
      <c r="L197" s="104"/>
      <c r="M197" s="104"/>
      <c r="N197" s="151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  <c r="IU197" s="104"/>
      <c r="IV197" s="104"/>
      <c r="IW197" s="104"/>
      <c r="IX197" s="104"/>
      <c r="IY197" s="104"/>
      <c r="IZ197" s="104"/>
      <c r="JA197" s="104"/>
    </row>
    <row r="198" spans="1:261" x14ac:dyDescent="0.2">
      <c r="B198" s="104"/>
      <c r="C198" s="104"/>
      <c r="D198" s="104"/>
      <c r="E198" s="104"/>
      <c r="F198" s="104"/>
      <c r="G198" s="104"/>
      <c r="H198" s="104"/>
      <c r="I198" s="104"/>
      <c r="J198" s="151"/>
      <c r="K198" s="104"/>
      <c r="L198" s="104"/>
      <c r="M198" s="104"/>
      <c r="N198" s="151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4"/>
      <c r="DB198" s="104"/>
      <c r="DC198" s="104"/>
      <c r="DD198" s="104"/>
      <c r="DE198" s="104"/>
      <c r="DF198" s="104"/>
      <c r="DG198" s="104"/>
      <c r="DH198" s="104"/>
      <c r="DI198" s="104"/>
      <c r="DJ198" s="104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04"/>
      <c r="EZ198" s="104"/>
      <c r="FA198" s="104"/>
      <c r="FB198" s="104"/>
      <c r="FC198" s="104"/>
      <c r="FD198" s="104"/>
      <c r="FE198" s="104"/>
      <c r="FF198" s="104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  <c r="IW198" s="104"/>
      <c r="IX198" s="104"/>
      <c r="IY198" s="104"/>
      <c r="IZ198" s="104"/>
      <c r="JA198" s="104"/>
    </row>
    <row r="199" spans="1:261" x14ac:dyDescent="0.2">
      <c r="B199" s="104"/>
      <c r="C199" s="104"/>
      <c r="D199" s="104"/>
      <c r="E199" s="104"/>
      <c r="F199" s="104"/>
      <c r="G199" s="104"/>
      <c r="H199" s="104"/>
      <c r="I199" s="104"/>
      <c r="J199" s="151"/>
      <c r="K199" s="104"/>
      <c r="L199" s="104"/>
      <c r="M199" s="104"/>
      <c r="N199" s="151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  <c r="IW199" s="104"/>
      <c r="IX199" s="104"/>
      <c r="IY199" s="104"/>
      <c r="IZ199" s="104"/>
      <c r="JA199" s="104"/>
    </row>
    <row r="200" spans="1:261" x14ac:dyDescent="0.2">
      <c r="B200" s="104"/>
      <c r="C200" s="104"/>
      <c r="D200" s="104"/>
      <c r="E200" s="104"/>
      <c r="F200" s="104"/>
      <c r="G200" s="104"/>
      <c r="H200" s="104"/>
      <c r="I200" s="104"/>
      <c r="J200" s="151"/>
      <c r="K200" s="104"/>
      <c r="L200" s="104"/>
      <c r="M200" s="104"/>
      <c r="N200" s="151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</row>
    <row r="201" spans="1:261" x14ac:dyDescent="0.2">
      <c r="B201" s="104"/>
      <c r="C201" s="104"/>
      <c r="D201" s="104"/>
      <c r="E201" s="104"/>
      <c r="F201" s="104"/>
      <c r="G201" s="104"/>
      <c r="H201" s="104"/>
      <c r="I201" s="104"/>
      <c r="J201" s="151"/>
      <c r="K201" s="104"/>
      <c r="L201" s="104"/>
      <c r="M201" s="104"/>
      <c r="N201" s="151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04"/>
      <c r="EZ201" s="104"/>
      <c r="FA201" s="104"/>
      <c r="FB201" s="104"/>
      <c r="FC201" s="104"/>
      <c r="FD201" s="104"/>
      <c r="FE201" s="104"/>
      <c r="FF201" s="104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  <c r="IU201" s="104"/>
      <c r="IV201" s="104"/>
      <c r="IW201" s="104"/>
      <c r="IX201" s="104"/>
      <c r="IY201" s="104"/>
      <c r="IZ201" s="104"/>
      <c r="JA201" s="104"/>
    </row>
    <row r="202" spans="1:261" x14ac:dyDescent="0.2">
      <c r="B202" s="104"/>
      <c r="C202" s="104"/>
      <c r="D202" s="104"/>
      <c r="E202" s="104"/>
      <c r="F202" s="104"/>
      <c r="G202" s="104"/>
      <c r="H202" s="104"/>
      <c r="I202" s="104"/>
      <c r="J202" s="151"/>
      <c r="K202" s="104"/>
      <c r="L202" s="104"/>
      <c r="M202" s="104"/>
      <c r="N202" s="151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  <c r="IU202" s="104"/>
      <c r="IV202" s="104"/>
      <c r="IW202" s="104"/>
      <c r="IX202" s="104"/>
      <c r="IY202" s="104"/>
      <c r="IZ202" s="104"/>
      <c r="JA202" s="104"/>
    </row>
    <row r="203" spans="1:261" x14ac:dyDescent="0.2">
      <c r="B203" s="104"/>
      <c r="C203" s="104"/>
      <c r="D203" s="104"/>
      <c r="E203" s="104"/>
      <c r="F203" s="104"/>
      <c r="G203" s="104"/>
      <c r="H203" s="104"/>
      <c r="I203" s="104"/>
      <c r="J203" s="151"/>
      <c r="K203" s="104"/>
      <c r="L203" s="104"/>
      <c r="M203" s="104"/>
      <c r="N203" s="151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  <c r="IW203" s="104"/>
      <c r="IX203" s="104"/>
      <c r="IY203" s="104"/>
      <c r="IZ203" s="104"/>
      <c r="JA203" s="104"/>
    </row>
    <row r="204" spans="1:261" x14ac:dyDescent="0.2">
      <c r="B204" s="104"/>
      <c r="C204" s="104"/>
      <c r="D204" s="104"/>
      <c r="E204" s="104"/>
      <c r="F204" s="104"/>
      <c r="G204" s="104"/>
      <c r="H204" s="104"/>
      <c r="I204" s="104"/>
      <c r="J204" s="151"/>
      <c r="K204" s="104"/>
      <c r="L204" s="104"/>
      <c r="M204" s="104"/>
      <c r="N204" s="151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  <c r="IU204" s="104"/>
      <c r="IV204" s="104"/>
      <c r="IW204" s="104"/>
      <c r="IX204" s="104"/>
      <c r="IY204" s="104"/>
      <c r="IZ204" s="104"/>
      <c r="JA204" s="104"/>
    </row>
    <row r="205" spans="1:261" x14ac:dyDescent="0.2">
      <c r="B205" s="104"/>
      <c r="C205" s="104"/>
      <c r="D205" s="104"/>
      <c r="E205" s="104"/>
      <c r="F205" s="104"/>
      <c r="G205" s="104"/>
      <c r="H205" s="104"/>
      <c r="I205" s="104"/>
      <c r="J205" s="151"/>
      <c r="K205" s="104"/>
      <c r="L205" s="104"/>
      <c r="M205" s="104"/>
      <c r="N205" s="151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  <c r="IW205" s="104"/>
      <c r="IX205" s="104"/>
      <c r="IY205" s="104"/>
      <c r="IZ205" s="104"/>
      <c r="JA205" s="104"/>
    </row>
    <row r="206" spans="1:261" x14ac:dyDescent="0.2">
      <c r="B206" s="104"/>
      <c r="C206" s="104"/>
      <c r="D206" s="104"/>
      <c r="E206" s="104"/>
      <c r="F206" s="104"/>
      <c r="G206" s="104"/>
      <c r="H206" s="104"/>
      <c r="I206" s="104"/>
      <c r="J206" s="151"/>
      <c r="K206" s="104"/>
      <c r="L206" s="104"/>
      <c r="M206" s="104"/>
      <c r="N206" s="151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  <c r="IU206" s="104"/>
      <c r="IV206" s="104"/>
      <c r="IW206" s="104"/>
      <c r="IX206" s="104"/>
      <c r="IY206" s="104"/>
      <c r="IZ206" s="104"/>
      <c r="JA206" s="104"/>
    </row>
    <row r="207" spans="1:261" x14ac:dyDescent="0.2">
      <c r="B207" s="104"/>
      <c r="C207" s="104"/>
      <c r="D207" s="104"/>
      <c r="E207" s="104"/>
      <c r="F207" s="104"/>
      <c r="G207" s="104"/>
      <c r="H207" s="104"/>
      <c r="I207" s="104"/>
      <c r="J207" s="151"/>
      <c r="K207" s="104"/>
      <c r="L207" s="104"/>
      <c r="M207" s="104"/>
      <c r="N207" s="151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  <c r="IU207" s="104"/>
      <c r="IV207" s="104"/>
      <c r="IW207" s="104"/>
      <c r="IX207" s="104"/>
      <c r="IY207" s="104"/>
      <c r="IZ207" s="104"/>
      <c r="JA207" s="104"/>
    </row>
    <row r="208" spans="1:261" x14ac:dyDescent="0.2">
      <c r="B208" s="104"/>
      <c r="C208" s="104"/>
      <c r="D208" s="104"/>
      <c r="E208" s="104"/>
      <c r="F208" s="104"/>
      <c r="G208" s="104"/>
      <c r="H208" s="104"/>
      <c r="I208" s="104"/>
      <c r="J208" s="151"/>
      <c r="K208" s="104"/>
      <c r="L208" s="104"/>
      <c r="M208" s="104"/>
      <c r="N208" s="151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  <c r="IU208" s="104"/>
      <c r="IV208" s="104"/>
      <c r="IW208" s="104"/>
      <c r="IX208" s="104"/>
      <c r="IY208" s="104"/>
      <c r="IZ208" s="104"/>
      <c r="JA208" s="104"/>
    </row>
    <row r="209" spans="2:261" x14ac:dyDescent="0.2">
      <c r="B209" s="104"/>
      <c r="C209" s="104"/>
      <c r="D209" s="104"/>
      <c r="E209" s="104"/>
      <c r="F209" s="104"/>
      <c r="G209" s="104"/>
      <c r="H209" s="104"/>
      <c r="I209" s="104"/>
      <c r="J209" s="151"/>
      <c r="K209" s="104"/>
      <c r="L209" s="104"/>
      <c r="M209" s="104"/>
      <c r="N209" s="151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4"/>
      <c r="DB209" s="104"/>
      <c r="DC209" s="104"/>
      <c r="DD209" s="104"/>
      <c r="DE209" s="104"/>
      <c r="DF209" s="104"/>
      <c r="DG209" s="104"/>
      <c r="DH209" s="104"/>
      <c r="DI209" s="104"/>
      <c r="DJ209" s="104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104"/>
      <c r="DV209" s="104"/>
      <c r="DW209" s="104"/>
      <c r="DX209" s="104"/>
      <c r="DY209" s="104"/>
      <c r="DZ209" s="104"/>
      <c r="EA209" s="104"/>
      <c r="EB209" s="104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04"/>
      <c r="EZ209" s="104"/>
      <c r="FA209" s="104"/>
      <c r="FB209" s="104"/>
      <c r="FC209" s="104"/>
      <c r="FD209" s="104"/>
      <c r="FE209" s="104"/>
      <c r="FF209" s="104"/>
      <c r="FG209" s="104"/>
      <c r="FH209" s="104"/>
      <c r="FI209" s="104"/>
      <c r="FJ209" s="104"/>
      <c r="FK209" s="104"/>
      <c r="FL209" s="104"/>
      <c r="FM209" s="104"/>
      <c r="FN209" s="104"/>
      <c r="FO209" s="104"/>
      <c r="FP209" s="104"/>
      <c r="FQ209" s="104"/>
      <c r="FR209" s="104"/>
      <c r="FS209" s="104"/>
      <c r="FT209" s="104"/>
      <c r="FU209" s="104"/>
      <c r="FV209" s="104"/>
      <c r="FW209" s="104"/>
      <c r="FX209" s="104"/>
      <c r="FY209" s="104"/>
      <c r="FZ209" s="104"/>
      <c r="GA209" s="104"/>
      <c r="GB209" s="104"/>
      <c r="GC209" s="104"/>
      <c r="GD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  <c r="HO209" s="104"/>
      <c r="HP209" s="104"/>
      <c r="HQ209" s="104"/>
      <c r="HR209" s="104"/>
      <c r="HS209" s="104"/>
      <c r="HT209" s="104"/>
      <c r="HU209" s="104"/>
      <c r="HV209" s="104"/>
      <c r="HW209" s="104"/>
      <c r="HX209" s="104"/>
      <c r="HY209" s="104"/>
      <c r="HZ209" s="104"/>
      <c r="IA209" s="104"/>
      <c r="IB209" s="104"/>
      <c r="IC209" s="104"/>
      <c r="ID209" s="104"/>
      <c r="IE209" s="104"/>
      <c r="IF209" s="104"/>
      <c r="IG209" s="104"/>
      <c r="IH209" s="104"/>
      <c r="II209" s="104"/>
      <c r="IJ209" s="104"/>
      <c r="IK209" s="104"/>
      <c r="IL209" s="104"/>
      <c r="IM209" s="104"/>
      <c r="IN209" s="104"/>
      <c r="IO209" s="104"/>
      <c r="IP209" s="104"/>
      <c r="IQ209" s="104"/>
      <c r="IR209" s="104"/>
      <c r="IS209" s="104"/>
      <c r="IT209" s="104"/>
      <c r="IU209" s="104"/>
      <c r="IV209" s="104"/>
      <c r="IW209" s="104"/>
      <c r="IX209" s="104"/>
      <c r="IY209" s="104"/>
      <c r="IZ209" s="104"/>
      <c r="JA209" s="104"/>
    </row>
    <row r="210" spans="2:261" x14ac:dyDescent="0.2">
      <c r="B210" s="104"/>
      <c r="C210" s="104"/>
      <c r="D210" s="104"/>
      <c r="E210" s="104"/>
      <c r="F210" s="104"/>
      <c r="G210" s="104"/>
      <c r="H210" s="104"/>
      <c r="I210" s="104"/>
      <c r="J210" s="151"/>
      <c r="K210" s="104"/>
      <c r="L210" s="104"/>
      <c r="M210" s="104"/>
      <c r="N210" s="151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  <c r="DI210" s="104"/>
      <c r="DJ210" s="104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104"/>
      <c r="DV210" s="104"/>
      <c r="DW210" s="104"/>
      <c r="DX210" s="104"/>
      <c r="DY210" s="104"/>
      <c r="DZ210" s="104"/>
      <c r="EA210" s="104"/>
      <c r="EB210" s="104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04"/>
      <c r="EZ210" s="104"/>
      <c r="FA210" s="104"/>
      <c r="FB210" s="104"/>
      <c r="FC210" s="104"/>
      <c r="FD210" s="104"/>
      <c r="FE210" s="104"/>
      <c r="FF210" s="104"/>
      <c r="FG210" s="104"/>
      <c r="FH210" s="104"/>
      <c r="FI210" s="104"/>
      <c r="FJ210" s="104"/>
      <c r="FK210" s="104"/>
      <c r="FL210" s="104"/>
      <c r="FM210" s="104"/>
      <c r="FN210" s="104"/>
      <c r="FO210" s="104"/>
      <c r="FP210" s="104"/>
      <c r="FQ210" s="104"/>
      <c r="FR210" s="104"/>
      <c r="FS210" s="104"/>
      <c r="FT210" s="104"/>
      <c r="FU210" s="104"/>
      <c r="FV210" s="104"/>
      <c r="FW210" s="104"/>
      <c r="FX210" s="104"/>
      <c r="FY210" s="104"/>
      <c r="FZ210" s="104"/>
      <c r="GA210" s="104"/>
      <c r="GB210" s="104"/>
      <c r="GC210" s="104"/>
      <c r="GD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  <c r="HO210" s="104"/>
      <c r="HP210" s="104"/>
      <c r="HQ210" s="104"/>
      <c r="HR210" s="104"/>
      <c r="HS210" s="104"/>
      <c r="HT210" s="104"/>
      <c r="HU210" s="104"/>
      <c r="HV210" s="104"/>
      <c r="HW210" s="104"/>
      <c r="HX210" s="104"/>
      <c r="HY210" s="104"/>
      <c r="HZ210" s="104"/>
      <c r="IA210" s="104"/>
      <c r="IB210" s="104"/>
      <c r="IC210" s="104"/>
      <c r="ID210" s="104"/>
      <c r="IE210" s="104"/>
      <c r="IF210" s="104"/>
      <c r="IG210" s="104"/>
      <c r="IH210" s="104"/>
      <c r="II210" s="104"/>
      <c r="IJ210" s="104"/>
      <c r="IK210" s="104"/>
      <c r="IL210" s="104"/>
      <c r="IM210" s="104"/>
      <c r="IN210" s="104"/>
      <c r="IO210" s="104"/>
      <c r="IP210" s="104"/>
      <c r="IQ210" s="104"/>
      <c r="IR210" s="104"/>
      <c r="IS210" s="104"/>
      <c r="IT210" s="104"/>
      <c r="IU210" s="104"/>
      <c r="IV210" s="104"/>
      <c r="IW210" s="104"/>
      <c r="IX210" s="104"/>
      <c r="IY210" s="104"/>
      <c r="IZ210" s="104"/>
      <c r="JA210" s="104"/>
    </row>
    <row r="211" spans="2:261" x14ac:dyDescent="0.2">
      <c r="B211" s="104"/>
      <c r="C211" s="104"/>
      <c r="D211" s="104"/>
      <c r="E211" s="104"/>
      <c r="F211" s="104"/>
      <c r="G211" s="104"/>
      <c r="H211" s="104"/>
      <c r="I211" s="104"/>
      <c r="J211" s="151"/>
      <c r="K211" s="104"/>
      <c r="L211" s="104"/>
      <c r="M211" s="104"/>
      <c r="N211" s="151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4"/>
      <c r="DB211" s="104"/>
      <c r="DC211" s="104"/>
      <c r="DD211" s="104"/>
      <c r="DE211" s="104"/>
      <c r="DF211" s="104"/>
      <c r="DG211" s="104"/>
      <c r="DH211" s="104"/>
      <c r="DI211" s="104"/>
      <c r="DJ211" s="104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104"/>
      <c r="DV211" s="104"/>
      <c r="DW211" s="104"/>
      <c r="DX211" s="104"/>
      <c r="DY211" s="104"/>
      <c r="DZ211" s="104"/>
      <c r="EA211" s="104"/>
      <c r="EB211" s="104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04"/>
      <c r="EZ211" s="104"/>
      <c r="FA211" s="104"/>
      <c r="FB211" s="104"/>
      <c r="FC211" s="104"/>
      <c r="FD211" s="104"/>
      <c r="FE211" s="104"/>
      <c r="FF211" s="104"/>
      <c r="FG211" s="104"/>
      <c r="FH211" s="104"/>
      <c r="FI211" s="104"/>
      <c r="FJ211" s="104"/>
      <c r="FK211" s="104"/>
      <c r="FL211" s="104"/>
      <c r="FM211" s="104"/>
      <c r="FN211" s="104"/>
      <c r="FO211" s="104"/>
      <c r="FP211" s="104"/>
      <c r="FQ211" s="104"/>
      <c r="FR211" s="104"/>
      <c r="FS211" s="104"/>
      <c r="FT211" s="104"/>
      <c r="FU211" s="104"/>
      <c r="FV211" s="104"/>
      <c r="FW211" s="104"/>
      <c r="FX211" s="104"/>
      <c r="FY211" s="104"/>
      <c r="FZ211" s="104"/>
      <c r="GA211" s="104"/>
      <c r="GB211" s="104"/>
      <c r="GC211" s="104"/>
      <c r="GD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  <c r="HO211" s="104"/>
      <c r="HP211" s="104"/>
      <c r="HQ211" s="104"/>
      <c r="HR211" s="104"/>
      <c r="HS211" s="104"/>
      <c r="HT211" s="104"/>
      <c r="HU211" s="104"/>
      <c r="HV211" s="104"/>
      <c r="HW211" s="104"/>
      <c r="HX211" s="104"/>
      <c r="HY211" s="104"/>
      <c r="HZ211" s="104"/>
      <c r="IA211" s="104"/>
      <c r="IB211" s="104"/>
      <c r="IC211" s="104"/>
      <c r="ID211" s="104"/>
      <c r="IE211" s="104"/>
      <c r="IF211" s="104"/>
      <c r="IG211" s="104"/>
      <c r="IH211" s="104"/>
      <c r="II211" s="104"/>
      <c r="IJ211" s="104"/>
      <c r="IK211" s="104"/>
      <c r="IL211" s="104"/>
      <c r="IM211" s="104"/>
      <c r="IN211" s="104"/>
      <c r="IO211" s="104"/>
      <c r="IP211" s="104"/>
      <c r="IQ211" s="104"/>
      <c r="IR211" s="104"/>
      <c r="IS211" s="104"/>
      <c r="IT211" s="104"/>
      <c r="IU211" s="104"/>
      <c r="IV211" s="104"/>
      <c r="IW211" s="104"/>
      <c r="IX211" s="104"/>
      <c r="IY211" s="104"/>
      <c r="IZ211" s="104"/>
      <c r="JA211" s="104"/>
    </row>
    <row r="212" spans="2:261" x14ac:dyDescent="0.2">
      <c r="B212" s="104"/>
      <c r="C212" s="104"/>
      <c r="D212" s="104"/>
      <c r="E212" s="104"/>
      <c r="F212" s="104"/>
      <c r="G212" s="104"/>
      <c r="H212" s="104"/>
      <c r="I212" s="104"/>
      <c r="J212" s="151"/>
      <c r="K212" s="104"/>
      <c r="L212" s="104"/>
      <c r="M212" s="104"/>
      <c r="N212" s="151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4"/>
      <c r="DB212" s="104"/>
      <c r="DC212" s="104"/>
      <c r="DD212" s="104"/>
      <c r="DE212" s="104"/>
      <c r="DF212" s="104"/>
      <c r="DG212" s="104"/>
      <c r="DH212" s="104"/>
      <c r="DI212" s="104"/>
      <c r="DJ212" s="104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104"/>
      <c r="DV212" s="104"/>
      <c r="DW212" s="104"/>
      <c r="DX212" s="104"/>
      <c r="DY212" s="104"/>
      <c r="DZ212" s="104"/>
      <c r="EA212" s="104"/>
      <c r="EB212" s="104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4"/>
      <c r="FA212" s="104"/>
      <c r="FB212" s="104"/>
      <c r="FC212" s="104"/>
      <c r="FD212" s="104"/>
      <c r="FE212" s="104"/>
      <c r="FF212" s="104"/>
      <c r="FG212" s="104"/>
      <c r="FH212" s="104"/>
      <c r="FI212" s="104"/>
      <c r="FJ212" s="104"/>
      <c r="FK212" s="104"/>
      <c r="FL212" s="104"/>
      <c r="FM212" s="104"/>
      <c r="FN212" s="104"/>
      <c r="FO212" s="104"/>
      <c r="FP212" s="104"/>
      <c r="FQ212" s="104"/>
      <c r="FR212" s="104"/>
      <c r="FS212" s="104"/>
      <c r="FT212" s="104"/>
      <c r="FU212" s="104"/>
      <c r="FV212" s="104"/>
      <c r="FW212" s="104"/>
      <c r="FX212" s="104"/>
      <c r="FY212" s="104"/>
      <c r="FZ212" s="104"/>
      <c r="GA212" s="104"/>
      <c r="GB212" s="104"/>
      <c r="GC212" s="104"/>
      <c r="GD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  <c r="IW212" s="104"/>
      <c r="IX212" s="104"/>
      <c r="IY212" s="104"/>
      <c r="IZ212" s="104"/>
      <c r="JA212" s="104"/>
    </row>
    <row r="213" spans="2:261" x14ac:dyDescent="0.2">
      <c r="B213" s="104"/>
      <c r="C213" s="104"/>
      <c r="D213" s="104"/>
      <c r="E213" s="104"/>
      <c r="F213" s="104"/>
      <c r="G213" s="104"/>
      <c r="H213" s="104"/>
      <c r="I213" s="104"/>
      <c r="J213" s="151"/>
      <c r="K213" s="104"/>
      <c r="L213" s="104"/>
      <c r="M213" s="104"/>
      <c r="N213" s="151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4"/>
      <c r="DB213" s="104"/>
      <c r="DC213" s="104"/>
      <c r="DD213" s="104"/>
      <c r="DE213" s="104"/>
      <c r="DF213" s="104"/>
      <c r="DG213" s="104"/>
      <c r="DH213" s="104"/>
      <c r="DI213" s="104"/>
      <c r="DJ213" s="104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104"/>
      <c r="DV213" s="104"/>
      <c r="DW213" s="104"/>
      <c r="DX213" s="104"/>
      <c r="DY213" s="104"/>
      <c r="DZ213" s="104"/>
      <c r="EA213" s="104"/>
      <c r="EB213" s="104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04"/>
      <c r="EZ213" s="104"/>
      <c r="FA213" s="104"/>
      <c r="FB213" s="104"/>
      <c r="FC213" s="104"/>
      <c r="FD213" s="104"/>
      <c r="FE213" s="104"/>
      <c r="FF213" s="104"/>
      <c r="FG213" s="104"/>
      <c r="FH213" s="104"/>
      <c r="FI213" s="104"/>
      <c r="FJ213" s="104"/>
      <c r="FK213" s="104"/>
      <c r="FL213" s="104"/>
      <c r="FM213" s="104"/>
      <c r="FN213" s="104"/>
      <c r="FO213" s="104"/>
      <c r="FP213" s="104"/>
      <c r="FQ213" s="104"/>
      <c r="FR213" s="104"/>
      <c r="FS213" s="104"/>
      <c r="FT213" s="104"/>
      <c r="FU213" s="104"/>
      <c r="FV213" s="104"/>
      <c r="FW213" s="104"/>
      <c r="FX213" s="104"/>
      <c r="FY213" s="104"/>
      <c r="FZ213" s="104"/>
      <c r="GA213" s="104"/>
      <c r="GB213" s="104"/>
      <c r="GC213" s="104"/>
      <c r="GD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  <c r="IW213" s="104"/>
      <c r="IX213" s="104"/>
      <c r="IY213" s="104"/>
      <c r="IZ213" s="104"/>
      <c r="JA213" s="104"/>
    </row>
    <row r="214" spans="2:261" x14ac:dyDescent="0.2">
      <c r="B214" s="104"/>
      <c r="C214" s="104"/>
      <c r="D214" s="104"/>
      <c r="E214" s="104"/>
      <c r="F214" s="104"/>
      <c r="G214" s="104"/>
      <c r="H214" s="104"/>
      <c r="I214" s="104"/>
      <c r="J214" s="151"/>
      <c r="K214" s="104"/>
      <c r="L214" s="104"/>
      <c r="M214" s="104"/>
      <c r="N214" s="151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4"/>
      <c r="DB214" s="104"/>
      <c r="DC214" s="104"/>
      <c r="DD214" s="104"/>
      <c r="DE214" s="104"/>
      <c r="DF214" s="104"/>
      <c r="DG214" s="104"/>
      <c r="DH214" s="104"/>
      <c r="DI214" s="104"/>
      <c r="DJ214" s="104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104"/>
      <c r="DV214" s="104"/>
      <c r="DW214" s="104"/>
      <c r="DX214" s="104"/>
      <c r="DY214" s="104"/>
      <c r="DZ214" s="104"/>
      <c r="EA214" s="104"/>
      <c r="EB214" s="104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04"/>
      <c r="EZ214" s="104"/>
      <c r="FA214" s="104"/>
      <c r="FB214" s="104"/>
      <c r="FC214" s="104"/>
      <c r="FD214" s="104"/>
      <c r="FE214" s="104"/>
      <c r="FF214" s="104"/>
      <c r="FG214" s="104"/>
      <c r="FH214" s="104"/>
      <c r="FI214" s="104"/>
      <c r="FJ214" s="104"/>
      <c r="FK214" s="104"/>
      <c r="FL214" s="104"/>
      <c r="FM214" s="104"/>
      <c r="FN214" s="104"/>
      <c r="FO214" s="104"/>
      <c r="FP214" s="104"/>
      <c r="FQ214" s="104"/>
      <c r="FR214" s="104"/>
      <c r="FS214" s="104"/>
      <c r="FT214" s="104"/>
      <c r="FU214" s="104"/>
      <c r="FV214" s="104"/>
      <c r="FW214" s="104"/>
      <c r="FX214" s="104"/>
      <c r="FY214" s="104"/>
      <c r="FZ214" s="104"/>
      <c r="GA214" s="104"/>
      <c r="GB214" s="104"/>
      <c r="GC214" s="104"/>
      <c r="GD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  <c r="IW214" s="104"/>
      <c r="IX214" s="104"/>
      <c r="IY214" s="104"/>
      <c r="IZ214" s="104"/>
      <c r="JA214" s="104"/>
    </row>
    <row r="215" spans="2:261" x14ac:dyDescent="0.2">
      <c r="B215" s="104"/>
      <c r="C215" s="104"/>
      <c r="D215" s="104"/>
      <c r="E215" s="104"/>
      <c r="F215" s="104"/>
      <c r="G215" s="104"/>
      <c r="H215" s="104"/>
      <c r="I215" s="104"/>
      <c r="J215" s="151"/>
      <c r="K215" s="104"/>
      <c r="L215" s="104"/>
      <c r="M215" s="104"/>
      <c r="N215" s="151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  <c r="DI215" s="104"/>
      <c r="DJ215" s="104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104"/>
      <c r="DV215" s="104"/>
      <c r="DW215" s="104"/>
      <c r="DX215" s="104"/>
      <c r="DY215" s="104"/>
      <c r="DZ215" s="104"/>
      <c r="EA215" s="104"/>
      <c r="EB215" s="104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04"/>
      <c r="EZ215" s="104"/>
      <c r="FA215" s="104"/>
      <c r="FB215" s="104"/>
      <c r="FC215" s="104"/>
      <c r="FD215" s="104"/>
      <c r="FE215" s="104"/>
      <c r="FF215" s="104"/>
      <c r="FG215" s="104"/>
      <c r="FH215" s="104"/>
      <c r="FI215" s="104"/>
      <c r="FJ215" s="104"/>
      <c r="FK215" s="104"/>
      <c r="FL215" s="104"/>
      <c r="FM215" s="104"/>
      <c r="FN215" s="104"/>
      <c r="FO215" s="104"/>
      <c r="FP215" s="104"/>
      <c r="FQ215" s="104"/>
      <c r="FR215" s="104"/>
      <c r="FS215" s="104"/>
      <c r="FT215" s="104"/>
      <c r="FU215" s="104"/>
      <c r="FV215" s="104"/>
      <c r="FW215" s="104"/>
      <c r="FX215" s="104"/>
      <c r="FY215" s="104"/>
      <c r="FZ215" s="104"/>
      <c r="GA215" s="104"/>
      <c r="GB215" s="104"/>
      <c r="GC215" s="104"/>
      <c r="GD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  <c r="HO215" s="104"/>
      <c r="HP215" s="104"/>
      <c r="HQ215" s="104"/>
      <c r="HR215" s="104"/>
      <c r="HS215" s="104"/>
      <c r="HT215" s="104"/>
      <c r="HU215" s="104"/>
      <c r="HV215" s="104"/>
      <c r="HW215" s="104"/>
      <c r="HX215" s="104"/>
      <c r="HY215" s="104"/>
      <c r="HZ215" s="104"/>
      <c r="IA215" s="104"/>
      <c r="IB215" s="104"/>
      <c r="IC215" s="104"/>
      <c r="ID215" s="104"/>
      <c r="IE215" s="104"/>
      <c r="IF215" s="104"/>
      <c r="IG215" s="104"/>
      <c r="IH215" s="104"/>
      <c r="II215" s="104"/>
      <c r="IJ215" s="104"/>
      <c r="IK215" s="104"/>
      <c r="IL215" s="104"/>
      <c r="IM215" s="104"/>
      <c r="IN215" s="104"/>
      <c r="IO215" s="104"/>
      <c r="IP215" s="104"/>
      <c r="IQ215" s="104"/>
      <c r="IR215" s="104"/>
      <c r="IS215" s="104"/>
      <c r="IT215" s="104"/>
      <c r="IU215" s="104"/>
      <c r="IV215" s="104"/>
      <c r="IW215" s="104"/>
      <c r="IX215" s="104"/>
      <c r="IY215" s="104"/>
      <c r="IZ215" s="104"/>
      <c r="JA215" s="104"/>
    </row>
    <row r="216" spans="2:261" x14ac:dyDescent="0.2">
      <c r="B216" s="104"/>
      <c r="C216" s="104"/>
      <c r="D216" s="104"/>
      <c r="E216" s="104"/>
      <c r="F216" s="104"/>
      <c r="G216" s="104"/>
      <c r="H216" s="104"/>
      <c r="I216" s="104"/>
      <c r="J216" s="151"/>
      <c r="K216" s="104"/>
      <c r="L216" s="104"/>
      <c r="M216" s="104"/>
      <c r="N216" s="151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104"/>
      <c r="FD216" s="104"/>
      <c r="FE216" s="104"/>
      <c r="FF216" s="104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  <c r="IW216" s="104"/>
      <c r="IX216" s="104"/>
      <c r="IY216" s="104"/>
      <c r="IZ216" s="104"/>
      <c r="JA216" s="104"/>
    </row>
    <row r="217" spans="2:261" x14ac:dyDescent="0.2">
      <c r="B217" s="104"/>
      <c r="C217" s="104"/>
      <c r="D217" s="104"/>
      <c r="E217" s="104"/>
      <c r="F217" s="104"/>
      <c r="G217" s="104"/>
      <c r="H217" s="104"/>
      <c r="I217" s="104"/>
      <c r="J217" s="151"/>
      <c r="K217" s="104"/>
      <c r="L217" s="104"/>
      <c r="M217" s="104"/>
      <c r="N217" s="151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  <c r="DI217" s="104"/>
      <c r="DJ217" s="104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104"/>
      <c r="DV217" s="104"/>
      <c r="DW217" s="104"/>
      <c r="DX217" s="104"/>
      <c r="DY217" s="104"/>
      <c r="DZ217" s="104"/>
      <c r="EA217" s="104"/>
      <c r="EB217" s="104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04"/>
      <c r="EZ217" s="104"/>
      <c r="FA217" s="104"/>
      <c r="FB217" s="104"/>
      <c r="FC217" s="104"/>
      <c r="FD217" s="104"/>
      <c r="FE217" s="104"/>
      <c r="FF217" s="104"/>
      <c r="FG217" s="104"/>
      <c r="FH217" s="104"/>
      <c r="FI217" s="104"/>
      <c r="FJ217" s="104"/>
      <c r="FK217" s="104"/>
      <c r="FL217" s="104"/>
      <c r="FM217" s="104"/>
      <c r="FN217" s="104"/>
      <c r="FO217" s="104"/>
      <c r="FP217" s="104"/>
      <c r="FQ217" s="104"/>
      <c r="FR217" s="104"/>
      <c r="FS217" s="104"/>
      <c r="FT217" s="104"/>
      <c r="FU217" s="104"/>
      <c r="FV217" s="104"/>
      <c r="FW217" s="104"/>
      <c r="FX217" s="104"/>
      <c r="FY217" s="104"/>
      <c r="FZ217" s="104"/>
      <c r="GA217" s="104"/>
      <c r="GB217" s="104"/>
      <c r="GC217" s="104"/>
      <c r="GD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  <c r="IW217" s="104"/>
      <c r="IX217" s="104"/>
      <c r="IY217" s="104"/>
      <c r="IZ217" s="104"/>
      <c r="JA217" s="104"/>
    </row>
    <row r="218" spans="2:261" x14ac:dyDescent="0.2">
      <c r="B218" s="104"/>
      <c r="C218" s="104"/>
      <c r="D218" s="104"/>
      <c r="E218" s="104"/>
      <c r="F218" s="104"/>
      <c r="G218" s="104"/>
      <c r="H218" s="104"/>
      <c r="I218" s="104"/>
      <c r="J218" s="151"/>
      <c r="K218" s="104"/>
      <c r="L218" s="104"/>
      <c r="M218" s="104"/>
      <c r="N218" s="151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4"/>
      <c r="DB218" s="104"/>
      <c r="DC218" s="104"/>
      <c r="DD218" s="104"/>
      <c r="DE218" s="104"/>
      <c r="DF218" s="104"/>
      <c r="DG218" s="104"/>
      <c r="DH218" s="104"/>
      <c r="DI218" s="104"/>
      <c r="DJ218" s="104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104"/>
      <c r="DV218" s="104"/>
      <c r="DW218" s="104"/>
      <c r="DX218" s="104"/>
      <c r="DY218" s="104"/>
      <c r="DZ218" s="104"/>
      <c r="EA218" s="104"/>
      <c r="EB218" s="104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04"/>
      <c r="EZ218" s="104"/>
      <c r="FA218" s="104"/>
      <c r="FB218" s="104"/>
      <c r="FC218" s="104"/>
      <c r="FD218" s="104"/>
      <c r="FE218" s="104"/>
      <c r="FF218" s="104"/>
      <c r="FG218" s="104"/>
      <c r="FH218" s="104"/>
      <c r="FI218" s="104"/>
      <c r="FJ218" s="104"/>
      <c r="FK218" s="104"/>
      <c r="FL218" s="104"/>
      <c r="FM218" s="104"/>
      <c r="FN218" s="104"/>
      <c r="FO218" s="104"/>
      <c r="FP218" s="104"/>
      <c r="FQ218" s="104"/>
      <c r="FR218" s="104"/>
      <c r="FS218" s="104"/>
      <c r="FT218" s="104"/>
      <c r="FU218" s="104"/>
      <c r="FV218" s="104"/>
      <c r="FW218" s="104"/>
      <c r="FX218" s="104"/>
      <c r="FY218" s="104"/>
      <c r="FZ218" s="104"/>
      <c r="GA218" s="104"/>
      <c r="GB218" s="104"/>
      <c r="GC218" s="104"/>
      <c r="GD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  <c r="HA218" s="104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  <c r="HO218" s="104"/>
      <c r="HP218" s="104"/>
      <c r="HQ218" s="104"/>
      <c r="HR218" s="104"/>
      <c r="HS218" s="104"/>
      <c r="HT218" s="104"/>
      <c r="HU218" s="104"/>
      <c r="HV218" s="104"/>
      <c r="HW218" s="104"/>
      <c r="HX218" s="104"/>
      <c r="HY218" s="104"/>
      <c r="HZ218" s="104"/>
      <c r="IA218" s="104"/>
      <c r="IB218" s="104"/>
      <c r="IC218" s="104"/>
      <c r="ID218" s="104"/>
      <c r="IE218" s="104"/>
      <c r="IF218" s="104"/>
      <c r="IG218" s="104"/>
      <c r="IH218" s="104"/>
      <c r="II218" s="104"/>
      <c r="IJ218" s="104"/>
      <c r="IK218" s="104"/>
      <c r="IL218" s="104"/>
      <c r="IM218" s="104"/>
      <c r="IN218" s="104"/>
      <c r="IO218" s="104"/>
      <c r="IP218" s="104"/>
      <c r="IQ218" s="104"/>
      <c r="IR218" s="104"/>
      <c r="IS218" s="104"/>
      <c r="IT218" s="104"/>
      <c r="IU218" s="104"/>
      <c r="IV218" s="104"/>
      <c r="IW218" s="104"/>
      <c r="IX218" s="104"/>
      <c r="IY218" s="104"/>
      <c r="IZ218" s="104"/>
      <c r="JA218" s="104"/>
    </row>
    <row r="219" spans="2:261" x14ac:dyDescent="0.2">
      <c r="B219" s="104"/>
      <c r="C219" s="104"/>
      <c r="D219" s="104"/>
      <c r="E219" s="104"/>
      <c r="F219" s="104"/>
      <c r="G219" s="104"/>
      <c r="H219" s="104"/>
      <c r="I219" s="104"/>
      <c r="J219" s="151"/>
      <c r="K219" s="104"/>
      <c r="L219" s="104"/>
      <c r="M219" s="104"/>
      <c r="N219" s="151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  <c r="DI219" s="104"/>
      <c r="DJ219" s="104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104"/>
      <c r="DV219" s="104"/>
      <c r="DW219" s="104"/>
      <c r="DX219" s="104"/>
      <c r="DY219" s="104"/>
      <c r="DZ219" s="104"/>
      <c r="EA219" s="104"/>
      <c r="EB219" s="104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4"/>
      <c r="EP219" s="104"/>
      <c r="EQ219" s="104"/>
      <c r="ER219" s="104"/>
      <c r="ES219" s="104"/>
      <c r="ET219" s="104"/>
      <c r="EU219" s="104"/>
      <c r="EV219" s="104"/>
      <c r="EW219" s="104"/>
      <c r="EX219" s="104"/>
      <c r="EY219" s="104"/>
      <c r="EZ219" s="104"/>
      <c r="FA219" s="104"/>
      <c r="FB219" s="104"/>
      <c r="FC219" s="104"/>
      <c r="FD219" s="104"/>
      <c r="FE219" s="104"/>
      <c r="FF219" s="104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4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  <c r="IW219" s="104"/>
      <c r="IX219" s="104"/>
      <c r="IY219" s="104"/>
      <c r="IZ219" s="104"/>
      <c r="JA219" s="104"/>
    </row>
    <row r="220" spans="2:261" x14ac:dyDescent="0.2">
      <c r="B220" s="104"/>
      <c r="C220" s="104"/>
      <c r="D220" s="104"/>
      <c r="E220" s="104"/>
      <c r="F220" s="104"/>
      <c r="G220" s="104"/>
      <c r="H220" s="104"/>
      <c r="I220" s="104"/>
      <c r="J220" s="151"/>
      <c r="K220" s="104"/>
      <c r="L220" s="104"/>
      <c r="M220" s="104"/>
      <c r="N220" s="151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4"/>
      <c r="DB220" s="104"/>
      <c r="DC220" s="104"/>
      <c r="DD220" s="104"/>
      <c r="DE220" s="104"/>
      <c r="DF220" s="104"/>
      <c r="DG220" s="104"/>
      <c r="DH220" s="104"/>
      <c r="DI220" s="104"/>
      <c r="DJ220" s="104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104"/>
      <c r="DV220" s="104"/>
      <c r="DW220" s="104"/>
      <c r="DX220" s="104"/>
      <c r="DY220" s="104"/>
      <c r="DZ220" s="104"/>
      <c r="EA220" s="104"/>
      <c r="EB220" s="104"/>
      <c r="EC220" s="104"/>
      <c r="ED220" s="104"/>
      <c r="EE220" s="104"/>
      <c r="EF220" s="104"/>
      <c r="EG220" s="104"/>
      <c r="EH220" s="104"/>
      <c r="EI220" s="104"/>
      <c r="EJ220" s="104"/>
      <c r="EK220" s="104"/>
      <c r="EL220" s="104"/>
      <c r="EM220" s="104"/>
      <c r="EN220" s="104"/>
      <c r="EO220" s="104"/>
      <c r="EP220" s="104"/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4"/>
      <c r="FA220" s="104"/>
      <c r="FB220" s="104"/>
      <c r="FC220" s="104"/>
      <c r="FD220" s="104"/>
      <c r="FE220" s="104"/>
      <c r="FF220" s="104"/>
      <c r="FG220" s="104"/>
      <c r="FH220" s="104"/>
      <c r="FI220" s="104"/>
      <c r="FJ220" s="104"/>
      <c r="FK220" s="104"/>
      <c r="FL220" s="104"/>
      <c r="FM220" s="104"/>
      <c r="FN220" s="104"/>
      <c r="FO220" s="104"/>
      <c r="FP220" s="104"/>
      <c r="FQ220" s="104"/>
      <c r="FR220" s="104"/>
      <c r="FS220" s="104"/>
      <c r="FT220" s="104"/>
      <c r="FU220" s="104"/>
      <c r="FV220" s="104"/>
      <c r="FW220" s="104"/>
      <c r="FX220" s="104"/>
      <c r="FY220" s="104"/>
      <c r="FZ220" s="104"/>
      <c r="GA220" s="104"/>
      <c r="GB220" s="104"/>
      <c r="GC220" s="104"/>
      <c r="GD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  <c r="HO220" s="104"/>
      <c r="HP220" s="104"/>
      <c r="HQ220" s="104"/>
      <c r="HR220" s="104"/>
      <c r="HS220" s="104"/>
      <c r="HT220" s="104"/>
      <c r="HU220" s="104"/>
      <c r="HV220" s="104"/>
      <c r="HW220" s="104"/>
      <c r="HX220" s="104"/>
      <c r="HY220" s="104"/>
      <c r="HZ220" s="104"/>
      <c r="IA220" s="104"/>
      <c r="IB220" s="104"/>
      <c r="IC220" s="104"/>
      <c r="ID220" s="104"/>
      <c r="IE220" s="104"/>
      <c r="IF220" s="104"/>
      <c r="IG220" s="104"/>
      <c r="IH220" s="104"/>
      <c r="II220" s="104"/>
      <c r="IJ220" s="104"/>
      <c r="IK220" s="104"/>
      <c r="IL220" s="104"/>
      <c r="IM220" s="104"/>
      <c r="IN220" s="104"/>
      <c r="IO220" s="104"/>
      <c r="IP220" s="104"/>
      <c r="IQ220" s="104"/>
      <c r="IR220" s="104"/>
      <c r="IS220" s="104"/>
      <c r="IT220" s="104"/>
      <c r="IU220" s="104"/>
      <c r="IV220" s="104"/>
      <c r="IW220" s="104"/>
      <c r="IX220" s="104"/>
      <c r="IY220" s="104"/>
      <c r="IZ220" s="104"/>
      <c r="JA220" s="104"/>
    </row>
    <row r="221" spans="2:261" x14ac:dyDescent="0.2">
      <c r="B221" s="104"/>
      <c r="C221" s="104"/>
      <c r="D221" s="104"/>
      <c r="E221" s="104"/>
      <c r="F221" s="104"/>
      <c r="G221" s="104"/>
      <c r="H221" s="104"/>
      <c r="I221" s="104"/>
      <c r="J221" s="151"/>
      <c r="K221" s="104"/>
      <c r="L221" s="104"/>
      <c r="M221" s="104"/>
      <c r="N221" s="151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4"/>
      <c r="DB221" s="104"/>
      <c r="DC221" s="104"/>
      <c r="DD221" s="104"/>
      <c r="DE221" s="104"/>
      <c r="DF221" s="104"/>
      <c r="DG221" s="104"/>
      <c r="DH221" s="104"/>
      <c r="DI221" s="104"/>
      <c r="DJ221" s="104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104"/>
      <c r="DV221" s="104"/>
      <c r="DW221" s="104"/>
      <c r="DX221" s="104"/>
      <c r="DY221" s="104"/>
      <c r="DZ221" s="104"/>
      <c r="EA221" s="104"/>
      <c r="EB221" s="104"/>
      <c r="EC221" s="104"/>
      <c r="ED221" s="104"/>
      <c r="EE221" s="104"/>
      <c r="EF221" s="104"/>
      <c r="EG221" s="104"/>
      <c r="EH221" s="104"/>
      <c r="EI221" s="104"/>
      <c r="EJ221" s="104"/>
      <c r="EK221" s="104"/>
      <c r="EL221" s="104"/>
      <c r="EM221" s="104"/>
      <c r="EN221" s="104"/>
      <c r="EO221" s="104"/>
      <c r="EP221" s="104"/>
      <c r="EQ221" s="104"/>
      <c r="ER221" s="104"/>
      <c r="ES221" s="104"/>
      <c r="ET221" s="104"/>
      <c r="EU221" s="104"/>
      <c r="EV221" s="104"/>
      <c r="EW221" s="104"/>
      <c r="EX221" s="104"/>
      <c r="EY221" s="104"/>
      <c r="EZ221" s="104"/>
      <c r="FA221" s="104"/>
      <c r="FB221" s="104"/>
      <c r="FC221" s="104"/>
      <c r="FD221" s="104"/>
      <c r="FE221" s="104"/>
      <c r="FF221" s="104"/>
      <c r="FG221" s="104"/>
      <c r="FH221" s="104"/>
      <c r="FI221" s="104"/>
      <c r="FJ221" s="104"/>
      <c r="FK221" s="104"/>
      <c r="FL221" s="104"/>
      <c r="FM221" s="104"/>
      <c r="FN221" s="104"/>
      <c r="FO221" s="104"/>
      <c r="FP221" s="104"/>
      <c r="FQ221" s="104"/>
      <c r="FR221" s="104"/>
      <c r="FS221" s="104"/>
      <c r="FT221" s="104"/>
      <c r="FU221" s="104"/>
      <c r="FV221" s="104"/>
      <c r="FW221" s="104"/>
      <c r="FX221" s="104"/>
      <c r="FY221" s="104"/>
      <c r="FZ221" s="104"/>
      <c r="GA221" s="104"/>
      <c r="GB221" s="104"/>
      <c r="GC221" s="104"/>
      <c r="GD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  <c r="HA221" s="104"/>
      <c r="HB221" s="104"/>
      <c r="HC221" s="104"/>
      <c r="HD221" s="104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  <c r="HO221" s="104"/>
      <c r="HP221" s="104"/>
      <c r="HQ221" s="104"/>
      <c r="HR221" s="104"/>
      <c r="HS221" s="104"/>
      <c r="HT221" s="104"/>
      <c r="HU221" s="104"/>
      <c r="HV221" s="104"/>
      <c r="HW221" s="104"/>
      <c r="HX221" s="104"/>
      <c r="HY221" s="104"/>
      <c r="HZ221" s="104"/>
      <c r="IA221" s="104"/>
      <c r="IB221" s="104"/>
      <c r="IC221" s="104"/>
      <c r="ID221" s="104"/>
      <c r="IE221" s="104"/>
      <c r="IF221" s="104"/>
      <c r="IG221" s="104"/>
      <c r="IH221" s="104"/>
      <c r="II221" s="104"/>
      <c r="IJ221" s="104"/>
      <c r="IK221" s="104"/>
      <c r="IL221" s="104"/>
      <c r="IM221" s="104"/>
      <c r="IN221" s="104"/>
      <c r="IO221" s="104"/>
      <c r="IP221" s="104"/>
      <c r="IQ221" s="104"/>
      <c r="IR221" s="104"/>
      <c r="IS221" s="104"/>
      <c r="IT221" s="104"/>
      <c r="IU221" s="104"/>
      <c r="IV221" s="104"/>
      <c r="IW221" s="104"/>
      <c r="IX221" s="104"/>
      <c r="IY221" s="104"/>
      <c r="IZ221" s="104"/>
      <c r="JA221" s="104"/>
    </row>
    <row r="222" spans="2:261" x14ac:dyDescent="0.2">
      <c r="B222" s="104"/>
      <c r="C222" s="104"/>
      <c r="D222" s="104"/>
      <c r="E222" s="104"/>
      <c r="F222" s="104"/>
      <c r="G222" s="104"/>
      <c r="H222" s="104"/>
      <c r="I222" s="104"/>
      <c r="J222" s="151"/>
      <c r="K222" s="104"/>
      <c r="L222" s="104"/>
      <c r="M222" s="104"/>
      <c r="N222" s="151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4"/>
      <c r="DB222" s="104"/>
      <c r="DC222" s="104"/>
      <c r="DD222" s="104"/>
      <c r="DE222" s="104"/>
      <c r="DF222" s="104"/>
      <c r="DG222" s="104"/>
      <c r="DH222" s="104"/>
      <c r="DI222" s="104"/>
      <c r="DJ222" s="104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104"/>
      <c r="DV222" s="104"/>
      <c r="DW222" s="104"/>
      <c r="DX222" s="104"/>
      <c r="DY222" s="104"/>
      <c r="DZ222" s="104"/>
      <c r="EA222" s="104"/>
      <c r="EB222" s="104"/>
      <c r="EC222" s="104"/>
      <c r="ED222" s="104"/>
      <c r="EE222" s="104"/>
      <c r="EF222" s="104"/>
      <c r="EG222" s="104"/>
      <c r="EH222" s="104"/>
      <c r="EI222" s="104"/>
      <c r="EJ222" s="104"/>
      <c r="EK222" s="104"/>
      <c r="EL222" s="104"/>
      <c r="EM222" s="104"/>
      <c r="EN222" s="104"/>
      <c r="EO222" s="104"/>
      <c r="EP222" s="104"/>
      <c r="EQ222" s="104"/>
      <c r="ER222" s="104"/>
      <c r="ES222" s="104"/>
      <c r="ET222" s="104"/>
      <c r="EU222" s="104"/>
      <c r="EV222" s="104"/>
      <c r="EW222" s="104"/>
      <c r="EX222" s="104"/>
      <c r="EY222" s="104"/>
      <c r="EZ222" s="104"/>
      <c r="FA222" s="104"/>
      <c r="FB222" s="104"/>
      <c r="FC222" s="104"/>
      <c r="FD222" s="104"/>
      <c r="FE222" s="104"/>
      <c r="FF222" s="104"/>
      <c r="FG222" s="104"/>
      <c r="FH222" s="104"/>
      <c r="FI222" s="104"/>
      <c r="FJ222" s="104"/>
      <c r="FK222" s="104"/>
      <c r="FL222" s="104"/>
      <c r="FM222" s="104"/>
      <c r="FN222" s="104"/>
      <c r="FO222" s="104"/>
      <c r="FP222" s="104"/>
      <c r="FQ222" s="104"/>
      <c r="FR222" s="104"/>
      <c r="FS222" s="104"/>
      <c r="FT222" s="104"/>
      <c r="FU222" s="104"/>
      <c r="FV222" s="104"/>
      <c r="FW222" s="104"/>
      <c r="FX222" s="104"/>
      <c r="FY222" s="104"/>
      <c r="FZ222" s="104"/>
      <c r="GA222" s="104"/>
      <c r="GB222" s="104"/>
      <c r="GC222" s="104"/>
      <c r="GD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  <c r="HA222" s="104"/>
      <c r="HB222" s="104"/>
      <c r="HC222" s="104"/>
      <c r="HD222" s="104"/>
      <c r="HE222" s="104"/>
      <c r="HF222" s="104"/>
      <c r="HG222" s="104"/>
      <c r="HH222" s="104"/>
      <c r="HI222" s="104"/>
      <c r="HJ222" s="104"/>
      <c r="HK222" s="104"/>
      <c r="HL222" s="104"/>
      <c r="HM222" s="104"/>
      <c r="HN222" s="104"/>
      <c r="HO222" s="104"/>
      <c r="HP222" s="104"/>
      <c r="HQ222" s="104"/>
      <c r="HR222" s="104"/>
      <c r="HS222" s="104"/>
      <c r="HT222" s="104"/>
      <c r="HU222" s="104"/>
      <c r="HV222" s="104"/>
      <c r="HW222" s="104"/>
      <c r="HX222" s="104"/>
      <c r="HY222" s="104"/>
      <c r="HZ222" s="104"/>
      <c r="IA222" s="104"/>
      <c r="IB222" s="104"/>
      <c r="IC222" s="104"/>
      <c r="ID222" s="104"/>
      <c r="IE222" s="104"/>
      <c r="IF222" s="104"/>
      <c r="IG222" s="104"/>
      <c r="IH222" s="104"/>
      <c r="II222" s="104"/>
      <c r="IJ222" s="104"/>
      <c r="IK222" s="104"/>
      <c r="IL222" s="104"/>
      <c r="IM222" s="104"/>
      <c r="IN222" s="104"/>
      <c r="IO222" s="104"/>
      <c r="IP222" s="104"/>
      <c r="IQ222" s="104"/>
      <c r="IR222" s="104"/>
      <c r="IS222" s="104"/>
      <c r="IT222" s="104"/>
      <c r="IU222" s="104"/>
      <c r="IV222" s="104"/>
      <c r="IW222" s="104"/>
      <c r="IX222" s="104"/>
      <c r="IY222" s="104"/>
      <c r="IZ222" s="104"/>
      <c r="JA222" s="104"/>
    </row>
    <row r="223" spans="2:261" x14ac:dyDescent="0.2">
      <c r="B223" s="104"/>
      <c r="C223" s="104"/>
      <c r="D223" s="104"/>
      <c r="E223" s="104"/>
      <c r="F223" s="104"/>
      <c r="G223" s="104"/>
      <c r="H223" s="104"/>
      <c r="I223" s="104"/>
      <c r="J223" s="151"/>
      <c r="K223" s="104"/>
      <c r="L223" s="104"/>
      <c r="M223" s="104"/>
      <c r="N223" s="151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4"/>
      <c r="DB223" s="104"/>
      <c r="DC223" s="104"/>
      <c r="DD223" s="104"/>
      <c r="DE223" s="104"/>
      <c r="DF223" s="104"/>
      <c r="DG223" s="104"/>
      <c r="DH223" s="104"/>
      <c r="DI223" s="104"/>
      <c r="DJ223" s="104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104"/>
      <c r="DV223" s="104"/>
      <c r="DW223" s="104"/>
      <c r="DX223" s="104"/>
      <c r="DY223" s="104"/>
      <c r="DZ223" s="104"/>
      <c r="EA223" s="104"/>
      <c r="EB223" s="104"/>
      <c r="EC223" s="104"/>
      <c r="ED223" s="104"/>
      <c r="EE223" s="104"/>
      <c r="EF223" s="104"/>
      <c r="EG223" s="104"/>
      <c r="EH223" s="104"/>
      <c r="EI223" s="104"/>
      <c r="EJ223" s="104"/>
      <c r="EK223" s="104"/>
      <c r="EL223" s="104"/>
      <c r="EM223" s="104"/>
      <c r="EN223" s="104"/>
      <c r="EO223" s="104"/>
      <c r="EP223" s="104"/>
      <c r="EQ223" s="104"/>
      <c r="ER223" s="104"/>
      <c r="ES223" s="104"/>
      <c r="ET223" s="104"/>
      <c r="EU223" s="104"/>
      <c r="EV223" s="104"/>
      <c r="EW223" s="104"/>
      <c r="EX223" s="104"/>
      <c r="EY223" s="104"/>
      <c r="EZ223" s="104"/>
      <c r="FA223" s="104"/>
      <c r="FB223" s="104"/>
      <c r="FC223" s="104"/>
      <c r="FD223" s="104"/>
      <c r="FE223" s="104"/>
      <c r="FF223" s="104"/>
      <c r="FG223" s="104"/>
      <c r="FH223" s="104"/>
      <c r="FI223" s="104"/>
      <c r="FJ223" s="104"/>
      <c r="FK223" s="104"/>
      <c r="FL223" s="104"/>
      <c r="FM223" s="104"/>
      <c r="FN223" s="104"/>
      <c r="FO223" s="104"/>
      <c r="FP223" s="104"/>
      <c r="FQ223" s="104"/>
      <c r="FR223" s="104"/>
      <c r="FS223" s="104"/>
      <c r="FT223" s="104"/>
      <c r="FU223" s="104"/>
      <c r="FV223" s="104"/>
      <c r="FW223" s="104"/>
      <c r="FX223" s="104"/>
      <c r="FY223" s="104"/>
      <c r="FZ223" s="104"/>
      <c r="GA223" s="104"/>
      <c r="GB223" s="104"/>
      <c r="GC223" s="104"/>
      <c r="GD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  <c r="HA223" s="104"/>
      <c r="HB223" s="104"/>
      <c r="HC223" s="104"/>
      <c r="HD223" s="104"/>
      <c r="HE223" s="104"/>
      <c r="HF223" s="104"/>
      <c r="HG223" s="104"/>
      <c r="HH223" s="104"/>
      <c r="HI223" s="104"/>
      <c r="HJ223" s="104"/>
      <c r="HK223" s="104"/>
      <c r="HL223" s="104"/>
      <c r="HM223" s="104"/>
      <c r="HN223" s="104"/>
      <c r="HO223" s="104"/>
      <c r="HP223" s="104"/>
      <c r="HQ223" s="104"/>
      <c r="HR223" s="104"/>
      <c r="HS223" s="104"/>
      <c r="HT223" s="104"/>
      <c r="HU223" s="104"/>
      <c r="HV223" s="104"/>
      <c r="HW223" s="104"/>
      <c r="HX223" s="104"/>
      <c r="HY223" s="104"/>
      <c r="HZ223" s="104"/>
      <c r="IA223" s="104"/>
      <c r="IB223" s="104"/>
      <c r="IC223" s="104"/>
      <c r="ID223" s="104"/>
      <c r="IE223" s="104"/>
      <c r="IF223" s="104"/>
      <c r="IG223" s="104"/>
      <c r="IH223" s="104"/>
      <c r="II223" s="104"/>
      <c r="IJ223" s="104"/>
      <c r="IK223" s="104"/>
      <c r="IL223" s="104"/>
      <c r="IM223" s="104"/>
      <c r="IN223" s="104"/>
      <c r="IO223" s="104"/>
      <c r="IP223" s="104"/>
      <c r="IQ223" s="104"/>
      <c r="IR223" s="104"/>
      <c r="IS223" s="104"/>
      <c r="IT223" s="104"/>
      <c r="IU223" s="104"/>
      <c r="IV223" s="104"/>
      <c r="IW223" s="104"/>
      <c r="IX223" s="104"/>
      <c r="IY223" s="104"/>
      <c r="IZ223" s="104"/>
      <c r="JA223" s="104"/>
    </row>
    <row r="224" spans="2:261" x14ac:dyDescent="0.2">
      <c r="B224" s="104"/>
      <c r="C224" s="104"/>
      <c r="D224" s="104"/>
      <c r="E224" s="104"/>
      <c r="F224" s="104"/>
      <c r="G224" s="104"/>
      <c r="H224" s="104"/>
      <c r="I224" s="104"/>
      <c r="J224" s="151"/>
      <c r="K224" s="104"/>
      <c r="L224" s="104"/>
      <c r="M224" s="104"/>
      <c r="N224" s="151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  <c r="DI224" s="104"/>
      <c r="DJ224" s="104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104"/>
      <c r="DV224" s="104"/>
      <c r="DW224" s="104"/>
      <c r="DX224" s="104"/>
      <c r="DY224" s="104"/>
      <c r="DZ224" s="104"/>
      <c r="EA224" s="104"/>
      <c r="EB224" s="104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4"/>
      <c r="EP224" s="104"/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4"/>
      <c r="FA224" s="104"/>
      <c r="FB224" s="104"/>
      <c r="FC224" s="104"/>
      <c r="FD224" s="104"/>
      <c r="FE224" s="104"/>
      <c r="FF224" s="104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  <c r="IW224" s="104"/>
      <c r="IX224" s="104"/>
      <c r="IY224" s="104"/>
      <c r="IZ224" s="104"/>
      <c r="JA224" s="104"/>
    </row>
    <row r="225" spans="2:261" x14ac:dyDescent="0.2">
      <c r="B225" s="104"/>
      <c r="C225" s="104"/>
      <c r="D225" s="104"/>
      <c r="E225" s="104"/>
      <c r="F225" s="104"/>
      <c r="G225" s="104"/>
      <c r="H225" s="104"/>
      <c r="I225" s="104"/>
      <c r="J225" s="151"/>
      <c r="K225" s="104"/>
      <c r="L225" s="104"/>
      <c r="M225" s="104"/>
      <c r="N225" s="151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4"/>
      <c r="DB225" s="104"/>
      <c r="DC225" s="104"/>
      <c r="DD225" s="104"/>
      <c r="DE225" s="104"/>
      <c r="DF225" s="104"/>
      <c r="DG225" s="104"/>
      <c r="DH225" s="104"/>
      <c r="DI225" s="104"/>
      <c r="DJ225" s="104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104"/>
      <c r="DV225" s="104"/>
      <c r="DW225" s="104"/>
      <c r="DX225" s="104"/>
      <c r="DY225" s="104"/>
      <c r="DZ225" s="104"/>
      <c r="EA225" s="104"/>
      <c r="EB225" s="104"/>
      <c r="EC225" s="104"/>
      <c r="ED225" s="104"/>
      <c r="EE225" s="104"/>
      <c r="EF225" s="104"/>
      <c r="EG225" s="104"/>
      <c r="EH225" s="104"/>
      <c r="EI225" s="104"/>
      <c r="EJ225" s="104"/>
      <c r="EK225" s="104"/>
      <c r="EL225" s="104"/>
      <c r="EM225" s="104"/>
      <c r="EN225" s="104"/>
      <c r="EO225" s="104"/>
      <c r="EP225" s="104"/>
      <c r="EQ225" s="104"/>
      <c r="ER225" s="104"/>
      <c r="ES225" s="104"/>
      <c r="ET225" s="104"/>
      <c r="EU225" s="104"/>
      <c r="EV225" s="104"/>
      <c r="EW225" s="104"/>
      <c r="EX225" s="104"/>
      <c r="EY225" s="104"/>
      <c r="EZ225" s="104"/>
      <c r="FA225" s="104"/>
      <c r="FB225" s="104"/>
      <c r="FC225" s="104"/>
      <c r="FD225" s="104"/>
      <c r="FE225" s="104"/>
      <c r="FF225" s="104"/>
      <c r="FG225" s="104"/>
      <c r="FH225" s="104"/>
      <c r="FI225" s="104"/>
      <c r="FJ225" s="104"/>
      <c r="FK225" s="104"/>
      <c r="FL225" s="104"/>
      <c r="FM225" s="104"/>
      <c r="FN225" s="104"/>
      <c r="FO225" s="104"/>
      <c r="FP225" s="104"/>
      <c r="FQ225" s="104"/>
      <c r="FR225" s="104"/>
      <c r="FS225" s="104"/>
      <c r="FT225" s="104"/>
      <c r="FU225" s="104"/>
      <c r="FV225" s="104"/>
      <c r="FW225" s="104"/>
      <c r="FX225" s="104"/>
      <c r="FY225" s="104"/>
      <c r="FZ225" s="104"/>
      <c r="GA225" s="104"/>
      <c r="GB225" s="104"/>
      <c r="GC225" s="104"/>
      <c r="GD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  <c r="HA225" s="104"/>
      <c r="HB225" s="104"/>
      <c r="HC225" s="104"/>
      <c r="HD225" s="104"/>
      <c r="HE225" s="104"/>
      <c r="HF225" s="104"/>
      <c r="HG225" s="104"/>
      <c r="HH225" s="104"/>
      <c r="HI225" s="104"/>
      <c r="HJ225" s="104"/>
      <c r="HK225" s="104"/>
      <c r="HL225" s="104"/>
      <c r="HM225" s="104"/>
      <c r="HN225" s="104"/>
      <c r="HO225" s="104"/>
      <c r="HP225" s="104"/>
      <c r="HQ225" s="104"/>
      <c r="HR225" s="104"/>
      <c r="HS225" s="104"/>
      <c r="HT225" s="104"/>
      <c r="HU225" s="104"/>
      <c r="HV225" s="104"/>
      <c r="HW225" s="104"/>
      <c r="HX225" s="104"/>
      <c r="HY225" s="104"/>
      <c r="HZ225" s="104"/>
      <c r="IA225" s="104"/>
      <c r="IB225" s="104"/>
      <c r="IC225" s="104"/>
      <c r="ID225" s="104"/>
      <c r="IE225" s="104"/>
      <c r="IF225" s="104"/>
      <c r="IG225" s="104"/>
      <c r="IH225" s="104"/>
      <c r="II225" s="104"/>
      <c r="IJ225" s="104"/>
      <c r="IK225" s="104"/>
      <c r="IL225" s="104"/>
      <c r="IM225" s="104"/>
      <c r="IN225" s="104"/>
      <c r="IO225" s="104"/>
      <c r="IP225" s="104"/>
      <c r="IQ225" s="104"/>
      <c r="IR225" s="104"/>
      <c r="IS225" s="104"/>
      <c r="IT225" s="104"/>
      <c r="IU225" s="104"/>
      <c r="IV225" s="104"/>
      <c r="IW225" s="104"/>
      <c r="IX225" s="104"/>
      <c r="IY225" s="104"/>
      <c r="IZ225" s="104"/>
      <c r="JA225" s="104"/>
    </row>
    <row r="226" spans="2:261" x14ac:dyDescent="0.2">
      <c r="B226" s="104"/>
      <c r="C226" s="104"/>
      <c r="D226" s="104"/>
      <c r="E226" s="104"/>
      <c r="F226" s="104"/>
      <c r="G226" s="104"/>
      <c r="H226" s="104"/>
      <c r="I226" s="104"/>
      <c r="J226" s="151"/>
      <c r="K226" s="104"/>
      <c r="L226" s="104"/>
      <c r="M226" s="104"/>
      <c r="N226" s="151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4"/>
      <c r="DB226" s="104"/>
      <c r="DC226" s="104"/>
      <c r="DD226" s="104"/>
      <c r="DE226" s="104"/>
      <c r="DF226" s="104"/>
      <c r="DG226" s="104"/>
      <c r="DH226" s="104"/>
      <c r="DI226" s="104"/>
      <c r="DJ226" s="104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104"/>
      <c r="DV226" s="104"/>
      <c r="DW226" s="104"/>
      <c r="DX226" s="104"/>
      <c r="DY226" s="104"/>
      <c r="DZ226" s="104"/>
      <c r="EA226" s="104"/>
      <c r="EB226" s="104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04"/>
      <c r="EZ226" s="104"/>
      <c r="FA226" s="104"/>
      <c r="FB226" s="104"/>
      <c r="FC226" s="104"/>
      <c r="FD226" s="104"/>
      <c r="FE226" s="104"/>
      <c r="FF226" s="104"/>
      <c r="FG226" s="104"/>
      <c r="FH226" s="104"/>
      <c r="FI226" s="104"/>
      <c r="FJ226" s="104"/>
      <c r="FK226" s="104"/>
      <c r="FL226" s="104"/>
      <c r="FM226" s="104"/>
      <c r="FN226" s="104"/>
      <c r="FO226" s="104"/>
      <c r="FP226" s="104"/>
      <c r="FQ226" s="104"/>
      <c r="FR226" s="104"/>
      <c r="FS226" s="104"/>
      <c r="FT226" s="104"/>
      <c r="FU226" s="104"/>
      <c r="FV226" s="104"/>
      <c r="FW226" s="104"/>
      <c r="FX226" s="104"/>
      <c r="FY226" s="104"/>
      <c r="FZ226" s="104"/>
      <c r="GA226" s="104"/>
      <c r="GB226" s="104"/>
      <c r="GC226" s="104"/>
      <c r="GD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  <c r="HJ226" s="104"/>
      <c r="HK226" s="104"/>
      <c r="HL226" s="104"/>
      <c r="HM226" s="104"/>
      <c r="HN226" s="104"/>
      <c r="HO226" s="104"/>
      <c r="HP226" s="104"/>
      <c r="HQ226" s="104"/>
      <c r="HR226" s="104"/>
      <c r="HS226" s="104"/>
      <c r="HT226" s="104"/>
      <c r="HU226" s="104"/>
      <c r="HV226" s="104"/>
      <c r="HW226" s="104"/>
      <c r="HX226" s="104"/>
      <c r="HY226" s="104"/>
      <c r="HZ226" s="104"/>
      <c r="IA226" s="104"/>
      <c r="IB226" s="104"/>
      <c r="IC226" s="104"/>
      <c r="ID226" s="104"/>
      <c r="IE226" s="104"/>
      <c r="IF226" s="104"/>
      <c r="IG226" s="104"/>
      <c r="IH226" s="104"/>
      <c r="II226" s="104"/>
      <c r="IJ226" s="104"/>
      <c r="IK226" s="104"/>
      <c r="IL226" s="104"/>
      <c r="IM226" s="104"/>
      <c r="IN226" s="104"/>
      <c r="IO226" s="104"/>
      <c r="IP226" s="104"/>
      <c r="IQ226" s="104"/>
      <c r="IR226" s="104"/>
      <c r="IS226" s="104"/>
      <c r="IT226" s="104"/>
      <c r="IU226" s="104"/>
      <c r="IV226" s="104"/>
      <c r="IW226" s="104"/>
      <c r="IX226" s="104"/>
      <c r="IY226" s="104"/>
      <c r="IZ226" s="104"/>
      <c r="JA226" s="104"/>
    </row>
    <row r="227" spans="2:261" x14ac:dyDescent="0.2">
      <c r="B227" s="104"/>
      <c r="C227" s="104"/>
      <c r="D227" s="104"/>
      <c r="E227" s="104"/>
      <c r="F227" s="104"/>
      <c r="G227" s="104"/>
      <c r="H227" s="104"/>
      <c r="I227" s="104"/>
      <c r="J227" s="151"/>
      <c r="K227" s="104"/>
      <c r="L227" s="104"/>
      <c r="M227" s="104"/>
      <c r="N227" s="151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4"/>
      <c r="DB227" s="104"/>
      <c r="DC227" s="104"/>
      <c r="DD227" s="104"/>
      <c r="DE227" s="104"/>
      <c r="DF227" s="104"/>
      <c r="DG227" s="104"/>
      <c r="DH227" s="104"/>
      <c r="DI227" s="104"/>
      <c r="DJ227" s="104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104"/>
      <c r="DV227" s="104"/>
      <c r="DW227" s="104"/>
      <c r="DX227" s="104"/>
      <c r="DY227" s="104"/>
      <c r="DZ227" s="104"/>
      <c r="EA227" s="104"/>
      <c r="EB227" s="104"/>
      <c r="EC227" s="104"/>
      <c r="ED227" s="104"/>
      <c r="EE227" s="104"/>
      <c r="EF227" s="104"/>
      <c r="EG227" s="104"/>
      <c r="EH227" s="104"/>
      <c r="EI227" s="104"/>
      <c r="EJ227" s="104"/>
      <c r="EK227" s="104"/>
      <c r="EL227" s="104"/>
      <c r="EM227" s="104"/>
      <c r="EN227" s="104"/>
      <c r="EO227" s="104"/>
      <c r="EP227" s="104"/>
      <c r="EQ227" s="104"/>
      <c r="ER227" s="104"/>
      <c r="ES227" s="104"/>
      <c r="ET227" s="104"/>
      <c r="EU227" s="104"/>
      <c r="EV227" s="104"/>
      <c r="EW227" s="104"/>
      <c r="EX227" s="104"/>
      <c r="EY227" s="104"/>
      <c r="EZ227" s="104"/>
      <c r="FA227" s="104"/>
      <c r="FB227" s="104"/>
      <c r="FC227" s="104"/>
      <c r="FD227" s="104"/>
      <c r="FE227" s="104"/>
      <c r="FF227" s="104"/>
      <c r="FG227" s="104"/>
      <c r="FH227" s="104"/>
      <c r="FI227" s="104"/>
      <c r="FJ227" s="104"/>
      <c r="FK227" s="104"/>
      <c r="FL227" s="104"/>
      <c r="FM227" s="104"/>
      <c r="FN227" s="104"/>
      <c r="FO227" s="104"/>
      <c r="FP227" s="104"/>
      <c r="FQ227" s="104"/>
      <c r="FR227" s="104"/>
      <c r="FS227" s="104"/>
      <c r="FT227" s="104"/>
      <c r="FU227" s="104"/>
      <c r="FV227" s="104"/>
      <c r="FW227" s="104"/>
      <c r="FX227" s="104"/>
      <c r="FY227" s="104"/>
      <c r="FZ227" s="104"/>
      <c r="GA227" s="104"/>
      <c r="GB227" s="104"/>
      <c r="GC227" s="104"/>
      <c r="GD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  <c r="HA227" s="104"/>
      <c r="HB227" s="104"/>
      <c r="HC227" s="104"/>
      <c r="HD227" s="104"/>
      <c r="HE227" s="104"/>
      <c r="HF227" s="104"/>
      <c r="HG227" s="104"/>
      <c r="HH227" s="104"/>
      <c r="HI227" s="104"/>
      <c r="HJ227" s="104"/>
      <c r="HK227" s="104"/>
      <c r="HL227" s="104"/>
      <c r="HM227" s="104"/>
      <c r="HN227" s="104"/>
      <c r="HO227" s="104"/>
      <c r="HP227" s="104"/>
      <c r="HQ227" s="104"/>
      <c r="HR227" s="104"/>
      <c r="HS227" s="104"/>
      <c r="HT227" s="104"/>
      <c r="HU227" s="104"/>
      <c r="HV227" s="104"/>
      <c r="HW227" s="104"/>
      <c r="HX227" s="104"/>
      <c r="HY227" s="104"/>
      <c r="HZ227" s="104"/>
      <c r="IA227" s="104"/>
      <c r="IB227" s="104"/>
      <c r="IC227" s="104"/>
      <c r="ID227" s="104"/>
      <c r="IE227" s="104"/>
      <c r="IF227" s="104"/>
      <c r="IG227" s="104"/>
      <c r="IH227" s="104"/>
      <c r="II227" s="104"/>
      <c r="IJ227" s="104"/>
      <c r="IK227" s="104"/>
      <c r="IL227" s="104"/>
      <c r="IM227" s="104"/>
      <c r="IN227" s="104"/>
      <c r="IO227" s="104"/>
      <c r="IP227" s="104"/>
      <c r="IQ227" s="104"/>
      <c r="IR227" s="104"/>
      <c r="IS227" s="104"/>
      <c r="IT227" s="104"/>
      <c r="IU227" s="104"/>
      <c r="IV227" s="104"/>
      <c r="IW227" s="104"/>
      <c r="IX227" s="104"/>
      <c r="IY227" s="104"/>
      <c r="IZ227" s="104"/>
      <c r="JA227" s="104"/>
    </row>
    <row r="228" spans="2:261" x14ac:dyDescent="0.2">
      <c r="B228" s="104"/>
      <c r="C228" s="104"/>
      <c r="D228" s="104"/>
      <c r="E228" s="104"/>
      <c r="F228" s="104"/>
      <c r="G228" s="104"/>
      <c r="H228" s="104"/>
      <c r="I228" s="104"/>
      <c r="J228" s="151"/>
      <c r="K228" s="104"/>
      <c r="L228" s="104"/>
      <c r="M228" s="104"/>
      <c r="N228" s="151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4"/>
      <c r="DB228" s="104"/>
      <c r="DC228" s="104"/>
      <c r="DD228" s="104"/>
      <c r="DE228" s="104"/>
      <c r="DF228" s="104"/>
      <c r="DG228" s="104"/>
      <c r="DH228" s="104"/>
      <c r="DI228" s="104"/>
      <c r="DJ228" s="104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104"/>
      <c r="DV228" s="104"/>
      <c r="DW228" s="104"/>
      <c r="DX228" s="104"/>
      <c r="DY228" s="104"/>
      <c r="DZ228" s="104"/>
      <c r="EA228" s="104"/>
      <c r="EB228" s="104"/>
      <c r="EC228" s="104"/>
      <c r="ED228" s="104"/>
      <c r="EE228" s="104"/>
      <c r="EF228" s="104"/>
      <c r="EG228" s="104"/>
      <c r="EH228" s="104"/>
      <c r="EI228" s="104"/>
      <c r="EJ228" s="104"/>
      <c r="EK228" s="104"/>
      <c r="EL228" s="104"/>
      <c r="EM228" s="104"/>
      <c r="EN228" s="104"/>
      <c r="EO228" s="104"/>
      <c r="EP228" s="104"/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4"/>
      <c r="FA228" s="104"/>
      <c r="FB228" s="104"/>
      <c r="FC228" s="104"/>
      <c r="FD228" s="104"/>
      <c r="FE228" s="104"/>
      <c r="FF228" s="104"/>
      <c r="FG228" s="104"/>
      <c r="FH228" s="104"/>
      <c r="FI228" s="104"/>
      <c r="FJ228" s="104"/>
      <c r="FK228" s="104"/>
      <c r="FL228" s="104"/>
      <c r="FM228" s="104"/>
      <c r="FN228" s="104"/>
      <c r="FO228" s="104"/>
      <c r="FP228" s="104"/>
      <c r="FQ228" s="104"/>
      <c r="FR228" s="104"/>
      <c r="FS228" s="104"/>
      <c r="FT228" s="104"/>
      <c r="FU228" s="104"/>
      <c r="FV228" s="104"/>
      <c r="FW228" s="104"/>
      <c r="FX228" s="104"/>
      <c r="FY228" s="104"/>
      <c r="FZ228" s="104"/>
      <c r="GA228" s="104"/>
      <c r="GB228" s="104"/>
      <c r="GC228" s="104"/>
      <c r="GD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  <c r="HA228" s="104"/>
      <c r="HB228" s="104"/>
      <c r="HC228" s="104"/>
      <c r="HD228" s="104"/>
      <c r="HE228" s="104"/>
      <c r="HF228" s="104"/>
      <c r="HG228" s="104"/>
      <c r="HH228" s="104"/>
      <c r="HI228" s="104"/>
      <c r="HJ228" s="104"/>
      <c r="HK228" s="104"/>
      <c r="HL228" s="104"/>
      <c r="HM228" s="104"/>
      <c r="HN228" s="104"/>
      <c r="HO228" s="104"/>
      <c r="HP228" s="104"/>
      <c r="HQ228" s="104"/>
      <c r="HR228" s="104"/>
      <c r="HS228" s="104"/>
      <c r="HT228" s="104"/>
      <c r="HU228" s="104"/>
      <c r="HV228" s="104"/>
      <c r="HW228" s="104"/>
      <c r="HX228" s="104"/>
      <c r="HY228" s="104"/>
      <c r="HZ228" s="104"/>
      <c r="IA228" s="104"/>
      <c r="IB228" s="104"/>
      <c r="IC228" s="104"/>
      <c r="ID228" s="104"/>
      <c r="IE228" s="104"/>
      <c r="IF228" s="104"/>
      <c r="IG228" s="104"/>
      <c r="IH228" s="104"/>
      <c r="II228" s="104"/>
      <c r="IJ228" s="104"/>
      <c r="IK228" s="104"/>
      <c r="IL228" s="104"/>
      <c r="IM228" s="104"/>
      <c r="IN228" s="104"/>
      <c r="IO228" s="104"/>
      <c r="IP228" s="104"/>
      <c r="IQ228" s="104"/>
      <c r="IR228" s="104"/>
      <c r="IS228" s="104"/>
      <c r="IT228" s="104"/>
      <c r="IU228" s="104"/>
      <c r="IV228" s="104"/>
      <c r="IW228" s="104"/>
      <c r="IX228" s="104"/>
      <c r="IY228" s="104"/>
      <c r="IZ228" s="104"/>
      <c r="JA228" s="104"/>
    </row>
    <row r="229" spans="2:261" x14ac:dyDescent="0.2">
      <c r="B229" s="104"/>
      <c r="C229" s="104"/>
      <c r="D229" s="104"/>
      <c r="E229" s="104"/>
      <c r="F229" s="104"/>
      <c r="G229" s="104"/>
      <c r="H229" s="104"/>
      <c r="I229" s="104"/>
      <c r="J229" s="151"/>
      <c r="K229" s="104"/>
      <c r="L229" s="104"/>
      <c r="M229" s="104"/>
      <c r="N229" s="151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04"/>
      <c r="EZ229" s="104"/>
      <c r="FA229" s="104"/>
      <c r="FB229" s="104"/>
      <c r="FC229" s="104"/>
      <c r="FD229" s="104"/>
      <c r="FE229" s="104"/>
      <c r="FF229" s="104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  <c r="IW229" s="104"/>
      <c r="IX229" s="104"/>
      <c r="IY229" s="104"/>
      <c r="IZ229" s="104"/>
      <c r="JA229" s="104"/>
    </row>
    <row r="230" spans="2:261" x14ac:dyDescent="0.2">
      <c r="B230" s="104"/>
      <c r="C230" s="104"/>
      <c r="D230" s="104"/>
      <c r="E230" s="104"/>
      <c r="F230" s="104"/>
      <c r="G230" s="104"/>
      <c r="H230" s="104"/>
      <c r="I230" s="104"/>
      <c r="J230" s="151"/>
      <c r="K230" s="104"/>
      <c r="L230" s="104"/>
      <c r="M230" s="104"/>
      <c r="N230" s="151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4"/>
      <c r="DB230" s="104"/>
      <c r="DC230" s="104"/>
      <c r="DD230" s="104"/>
      <c r="DE230" s="104"/>
      <c r="DF230" s="104"/>
      <c r="DG230" s="104"/>
      <c r="DH230" s="104"/>
      <c r="DI230" s="104"/>
      <c r="DJ230" s="104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104"/>
      <c r="DV230" s="104"/>
      <c r="DW230" s="104"/>
      <c r="DX230" s="104"/>
      <c r="DY230" s="104"/>
      <c r="DZ230" s="104"/>
      <c r="EA230" s="104"/>
      <c r="EB230" s="104"/>
      <c r="EC230" s="104"/>
      <c r="ED230" s="104"/>
      <c r="EE230" s="104"/>
      <c r="EF230" s="104"/>
      <c r="EG230" s="104"/>
      <c r="EH230" s="104"/>
      <c r="EI230" s="104"/>
      <c r="EJ230" s="104"/>
      <c r="EK230" s="104"/>
      <c r="EL230" s="104"/>
      <c r="EM230" s="104"/>
      <c r="EN230" s="104"/>
      <c r="EO230" s="104"/>
      <c r="EP230" s="104"/>
      <c r="EQ230" s="104"/>
      <c r="ER230" s="104"/>
      <c r="ES230" s="104"/>
      <c r="ET230" s="104"/>
      <c r="EU230" s="104"/>
      <c r="EV230" s="104"/>
      <c r="EW230" s="104"/>
      <c r="EX230" s="104"/>
      <c r="EY230" s="104"/>
      <c r="EZ230" s="104"/>
      <c r="FA230" s="104"/>
      <c r="FB230" s="104"/>
      <c r="FC230" s="104"/>
      <c r="FD230" s="104"/>
      <c r="FE230" s="104"/>
      <c r="FF230" s="104"/>
      <c r="FG230" s="104"/>
      <c r="FH230" s="104"/>
      <c r="FI230" s="104"/>
      <c r="FJ230" s="104"/>
      <c r="FK230" s="104"/>
      <c r="FL230" s="104"/>
      <c r="FM230" s="104"/>
      <c r="FN230" s="104"/>
      <c r="FO230" s="104"/>
      <c r="FP230" s="104"/>
      <c r="FQ230" s="104"/>
      <c r="FR230" s="104"/>
      <c r="FS230" s="104"/>
      <c r="FT230" s="104"/>
      <c r="FU230" s="104"/>
      <c r="FV230" s="104"/>
      <c r="FW230" s="104"/>
      <c r="FX230" s="104"/>
      <c r="FY230" s="104"/>
      <c r="FZ230" s="104"/>
      <c r="GA230" s="104"/>
      <c r="GB230" s="104"/>
      <c r="GC230" s="104"/>
      <c r="GD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  <c r="HA230" s="104"/>
      <c r="HB230" s="104"/>
      <c r="HC230" s="104"/>
      <c r="HD230" s="104"/>
      <c r="HE230" s="104"/>
      <c r="HF230" s="104"/>
      <c r="HG230" s="104"/>
      <c r="HH230" s="104"/>
      <c r="HI230" s="104"/>
      <c r="HJ230" s="104"/>
      <c r="HK230" s="104"/>
      <c r="HL230" s="104"/>
      <c r="HM230" s="104"/>
      <c r="HN230" s="104"/>
      <c r="HO230" s="104"/>
      <c r="HP230" s="104"/>
      <c r="HQ230" s="104"/>
      <c r="HR230" s="104"/>
      <c r="HS230" s="104"/>
      <c r="HT230" s="104"/>
      <c r="HU230" s="104"/>
      <c r="HV230" s="104"/>
      <c r="HW230" s="104"/>
      <c r="HX230" s="104"/>
      <c r="HY230" s="104"/>
      <c r="HZ230" s="104"/>
      <c r="IA230" s="104"/>
      <c r="IB230" s="104"/>
      <c r="IC230" s="104"/>
      <c r="ID230" s="104"/>
      <c r="IE230" s="104"/>
      <c r="IF230" s="104"/>
      <c r="IG230" s="104"/>
      <c r="IH230" s="104"/>
      <c r="II230" s="104"/>
      <c r="IJ230" s="104"/>
      <c r="IK230" s="104"/>
      <c r="IL230" s="104"/>
      <c r="IM230" s="104"/>
      <c r="IN230" s="104"/>
      <c r="IO230" s="104"/>
      <c r="IP230" s="104"/>
      <c r="IQ230" s="104"/>
      <c r="IR230" s="104"/>
      <c r="IS230" s="104"/>
      <c r="IT230" s="104"/>
      <c r="IU230" s="104"/>
      <c r="IV230" s="104"/>
      <c r="IW230" s="104"/>
      <c r="IX230" s="104"/>
      <c r="IY230" s="104"/>
      <c r="IZ230" s="104"/>
      <c r="JA230" s="104"/>
    </row>
    <row r="231" spans="2:261" x14ac:dyDescent="0.2">
      <c r="B231" s="104"/>
      <c r="C231" s="104"/>
      <c r="D231" s="104"/>
      <c r="E231" s="104"/>
      <c r="F231" s="104"/>
      <c r="G231" s="104"/>
      <c r="H231" s="104"/>
      <c r="I231" s="104"/>
      <c r="J231" s="151"/>
      <c r="K231" s="104"/>
      <c r="L231" s="104"/>
      <c r="M231" s="104"/>
      <c r="N231" s="151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4"/>
      <c r="DB231" s="104"/>
      <c r="DC231" s="104"/>
      <c r="DD231" s="104"/>
      <c r="DE231" s="104"/>
      <c r="DF231" s="104"/>
      <c r="DG231" s="104"/>
      <c r="DH231" s="104"/>
      <c r="DI231" s="104"/>
      <c r="DJ231" s="104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104"/>
      <c r="DV231" s="104"/>
      <c r="DW231" s="104"/>
      <c r="DX231" s="104"/>
      <c r="DY231" s="104"/>
      <c r="DZ231" s="104"/>
      <c r="EA231" s="104"/>
      <c r="EB231" s="104"/>
      <c r="EC231" s="104"/>
      <c r="ED231" s="104"/>
      <c r="EE231" s="104"/>
      <c r="EF231" s="104"/>
      <c r="EG231" s="104"/>
      <c r="EH231" s="104"/>
      <c r="EI231" s="104"/>
      <c r="EJ231" s="104"/>
      <c r="EK231" s="104"/>
      <c r="EL231" s="104"/>
      <c r="EM231" s="104"/>
      <c r="EN231" s="104"/>
      <c r="EO231" s="104"/>
      <c r="EP231" s="104"/>
      <c r="EQ231" s="104"/>
      <c r="ER231" s="104"/>
      <c r="ES231" s="104"/>
      <c r="ET231" s="104"/>
      <c r="EU231" s="104"/>
      <c r="EV231" s="104"/>
      <c r="EW231" s="104"/>
      <c r="EX231" s="104"/>
      <c r="EY231" s="104"/>
      <c r="EZ231" s="104"/>
      <c r="FA231" s="104"/>
      <c r="FB231" s="104"/>
      <c r="FC231" s="104"/>
      <c r="FD231" s="104"/>
      <c r="FE231" s="104"/>
      <c r="FF231" s="104"/>
      <c r="FG231" s="104"/>
      <c r="FH231" s="104"/>
      <c r="FI231" s="104"/>
      <c r="FJ231" s="104"/>
      <c r="FK231" s="104"/>
      <c r="FL231" s="104"/>
      <c r="FM231" s="104"/>
      <c r="FN231" s="104"/>
      <c r="FO231" s="104"/>
      <c r="FP231" s="104"/>
      <c r="FQ231" s="104"/>
      <c r="FR231" s="104"/>
      <c r="FS231" s="104"/>
      <c r="FT231" s="104"/>
      <c r="FU231" s="104"/>
      <c r="FV231" s="104"/>
      <c r="FW231" s="104"/>
      <c r="FX231" s="104"/>
      <c r="FY231" s="104"/>
      <c r="FZ231" s="104"/>
      <c r="GA231" s="104"/>
      <c r="GB231" s="104"/>
      <c r="GC231" s="104"/>
      <c r="GD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  <c r="HA231" s="104"/>
      <c r="HB231" s="104"/>
      <c r="HC231" s="104"/>
      <c r="HD231" s="104"/>
      <c r="HE231" s="104"/>
      <c r="HF231" s="104"/>
      <c r="HG231" s="104"/>
      <c r="HH231" s="104"/>
      <c r="HI231" s="104"/>
      <c r="HJ231" s="104"/>
      <c r="HK231" s="104"/>
      <c r="HL231" s="104"/>
      <c r="HM231" s="104"/>
      <c r="HN231" s="104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4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O231" s="104"/>
      <c r="IP231" s="104"/>
      <c r="IQ231" s="104"/>
      <c r="IR231" s="104"/>
      <c r="IS231" s="104"/>
      <c r="IT231" s="104"/>
      <c r="IU231" s="104"/>
      <c r="IV231" s="104"/>
      <c r="IW231" s="104"/>
      <c r="IX231" s="104"/>
      <c r="IY231" s="104"/>
      <c r="IZ231" s="104"/>
      <c r="JA231" s="104"/>
    </row>
    <row r="232" spans="2:261" x14ac:dyDescent="0.2">
      <c r="B232" s="104"/>
      <c r="C232" s="104"/>
      <c r="D232" s="104"/>
      <c r="E232" s="104"/>
      <c r="F232" s="104"/>
      <c r="G232" s="104"/>
      <c r="H232" s="104"/>
      <c r="I232" s="104"/>
      <c r="J232" s="151"/>
      <c r="K232" s="104"/>
      <c r="L232" s="104"/>
      <c r="M232" s="104"/>
      <c r="N232" s="151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  <c r="DI232" s="104"/>
      <c r="DJ232" s="104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104"/>
      <c r="DV232" s="104"/>
      <c r="DW232" s="104"/>
      <c r="DX232" s="104"/>
      <c r="DY232" s="104"/>
      <c r="DZ232" s="104"/>
      <c r="EA232" s="104"/>
      <c r="EB232" s="104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4"/>
      <c r="EP232" s="104"/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4"/>
      <c r="FA232" s="104"/>
      <c r="FB232" s="104"/>
      <c r="FC232" s="104"/>
      <c r="FD232" s="104"/>
      <c r="FE232" s="104"/>
      <c r="FF232" s="104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4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  <c r="HO232" s="104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  <c r="IW232" s="104"/>
      <c r="IX232" s="104"/>
      <c r="IY232" s="104"/>
      <c r="IZ232" s="104"/>
      <c r="JA232" s="104"/>
    </row>
    <row r="233" spans="2:261" x14ac:dyDescent="0.2">
      <c r="B233" s="104"/>
      <c r="C233" s="104"/>
      <c r="D233" s="104"/>
      <c r="E233" s="104"/>
      <c r="F233" s="104"/>
      <c r="G233" s="104"/>
      <c r="H233" s="104"/>
      <c r="I233" s="104"/>
      <c r="J233" s="151"/>
      <c r="K233" s="104"/>
      <c r="L233" s="104"/>
      <c r="M233" s="104"/>
      <c r="N233" s="151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4"/>
      <c r="DB233" s="104"/>
      <c r="DC233" s="104"/>
      <c r="DD233" s="104"/>
      <c r="DE233" s="104"/>
      <c r="DF233" s="104"/>
      <c r="DG233" s="104"/>
      <c r="DH233" s="104"/>
      <c r="DI233" s="104"/>
      <c r="DJ233" s="104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104"/>
      <c r="DV233" s="104"/>
      <c r="DW233" s="104"/>
      <c r="DX233" s="104"/>
      <c r="DY233" s="104"/>
      <c r="DZ233" s="104"/>
      <c r="EA233" s="104"/>
      <c r="EB233" s="104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04"/>
      <c r="EZ233" s="104"/>
      <c r="FA233" s="104"/>
      <c r="FB233" s="104"/>
      <c r="FC233" s="104"/>
      <c r="FD233" s="104"/>
      <c r="FE233" s="104"/>
      <c r="FF233" s="104"/>
      <c r="FG233" s="104"/>
      <c r="FH233" s="104"/>
      <c r="FI233" s="104"/>
      <c r="FJ233" s="104"/>
      <c r="FK233" s="104"/>
      <c r="FL233" s="104"/>
      <c r="FM233" s="104"/>
      <c r="FN233" s="104"/>
      <c r="FO233" s="104"/>
      <c r="FP233" s="104"/>
      <c r="FQ233" s="104"/>
      <c r="FR233" s="104"/>
      <c r="FS233" s="104"/>
      <c r="FT233" s="104"/>
      <c r="FU233" s="104"/>
      <c r="FV233" s="104"/>
      <c r="FW233" s="104"/>
      <c r="FX233" s="104"/>
      <c r="FY233" s="104"/>
      <c r="FZ233" s="104"/>
      <c r="GA233" s="104"/>
      <c r="GB233" s="104"/>
      <c r="GC233" s="104"/>
      <c r="GD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  <c r="HJ233" s="104"/>
      <c r="HK233" s="104"/>
      <c r="HL233" s="104"/>
      <c r="HM233" s="104"/>
      <c r="HN233" s="104"/>
      <c r="HO233" s="104"/>
      <c r="HP233" s="104"/>
      <c r="HQ233" s="104"/>
      <c r="HR233" s="104"/>
      <c r="HS233" s="104"/>
      <c r="HT233" s="104"/>
      <c r="HU233" s="104"/>
      <c r="HV233" s="104"/>
      <c r="HW233" s="104"/>
      <c r="HX233" s="104"/>
      <c r="HY233" s="104"/>
      <c r="HZ233" s="104"/>
      <c r="IA233" s="104"/>
      <c r="IB233" s="104"/>
      <c r="IC233" s="104"/>
      <c r="ID233" s="104"/>
      <c r="IE233" s="104"/>
      <c r="IF233" s="104"/>
      <c r="IG233" s="104"/>
      <c r="IH233" s="104"/>
      <c r="II233" s="104"/>
      <c r="IJ233" s="104"/>
      <c r="IK233" s="104"/>
      <c r="IL233" s="104"/>
      <c r="IM233" s="104"/>
      <c r="IN233" s="104"/>
      <c r="IO233" s="104"/>
      <c r="IP233" s="104"/>
      <c r="IQ233" s="104"/>
      <c r="IR233" s="104"/>
      <c r="IS233" s="104"/>
      <c r="IT233" s="104"/>
      <c r="IU233" s="104"/>
      <c r="IV233" s="104"/>
      <c r="IW233" s="104"/>
      <c r="IX233" s="104"/>
      <c r="IY233" s="104"/>
      <c r="IZ233" s="104"/>
      <c r="JA233" s="104"/>
    </row>
    <row r="234" spans="2:261" x14ac:dyDescent="0.2">
      <c r="B234" s="104"/>
      <c r="C234" s="104"/>
      <c r="D234" s="104"/>
      <c r="E234" s="104"/>
      <c r="F234" s="104"/>
      <c r="G234" s="104"/>
      <c r="H234" s="104"/>
      <c r="I234" s="104"/>
      <c r="J234" s="151"/>
      <c r="K234" s="104"/>
      <c r="L234" s="104"/>
      <c r="M234" s="104"/>
      <c r="N234" s="151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04"/>
      <c r="EZ234" s="104"/>
      <c r="FA234" s="104"/>
      <c r="FB234" s="104"/>
      <c r="FC234" s="104"/>
      <c r="FD234" s="104"/>
      <c r="FE234" s="104"/>
      <c r="FF234" s="104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  <c r="HO234" s="104"/>
      <c r="HP234" s="104"/>
      <c r="HQ234" s="104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  <c r="IW234" s="104"/>
      <c r="IX234" s="104"/>
      <c r="IY234" s="104"/>
      <c r="IZ234" s="104"/>
      <c r="JA234" s="104"/>
    </row>
    <row r="235" spans="2:261" x14ac:dyDescent="0.2">
      <c r="B235" s="104"/>
      <c r="C235" s="104"/>
      <c r="D235" s="104"/>
      <c r="E235" s="104"/>
      <c r="F235" s="104"/>
      <c r="G235" s="104"/>
      <c r="H235" s="104"/>
      <c r="I235" s="104"/>
      <c r="J235" s="151"/>
      <c r="K235" s="104"/>
      <c r="L235" s="104"/>
      <c r="M235" s="104"/>
      <c r="N235" s="151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4"/>
      <c r="DB235" s="104"/>
      <c r="DC235" s="104"/>
      <c r="DD235" s="104"/>
      <c r="DE235" s="104"/>
      <c r="DF235" s="104"/>
      <c r="DG235" s="104"/>
      <c r="DH235" s="104"/>
      <c r="DI235" s="104"/>
      <c r="DJ235" s="104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104"/>
      <c r="DV235" s="104"/>
      <c r="DW235" s="104"/>
      <c r="DX235" s="104"/>
      <c r="DY235" s="104"/>
      <c r="DZ235" s="104"/>
      <c r="EA235" s="104"/>
      <c r="EB235" s="104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04"/>
      <c r="EZ235" s="104"/>
      <c r="FA235" s="104"/>
      <c r="FB235" s="104"/>
      <c r="FC235" s="104"/>
      <c r="FD235" s="104"/>
      <c r="FE235" s="104"/>
      <c r="FF235" s="104"/>
      <c r="FG235" s="104"/>
      <c r="FH235" s="104"/>
      <c r="FI235" s="104"/>
      <c r="FJ235" s="104"/>
      <c r="FK235" s="104"/>
      <c r="FL235" s="104"/>
      <c r="FM235" s="104"/>
      <c r="FN235" s="104"/>
      <c r="FO235" s="104"/>
      <c r="FP235" s="104"/>
      <c r="FQ235" s="104"/>
      <c r="FR235" s="104"/>
      <c r="FS235" s="104"/>
      <c r="FT235" s="104"/>
      <c r="FU235" s="104"/>
      <c r="FV235" s="104"/>
      <c r="FW235" s="104"/>
      <c r="FX235" s="104"/>
      <c r="FY235" s="104"/>
      <c r="FZ235" s="104"/>
      <c r="GA235" s="104"/>
      <c r="GB235" s="104"/>
      <c r="GC235" s="104"/>
      <c r="GD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  <c r="HJ235" s="104"/>
      <c r="HK235" s="104"/>
      <c r="HL235" s="104"/>
      <c r="HM235" s="104"/>
      <c r="HN235" s="104"/>
      <c r="HO235" s="104"/>
      <c r="HP235" s="104"/>
      <c r="HQ235" s="104"/>
      <c r="HR235" s="104"/>
      <c r="HS235" s="104"/>
      <c r="HT235" s="104"/>
      <c r="HU235" s="104"/>
      <c r="HV235" s="104"/>
      <c r="HW235" s="104"/>
      <c r="HX235" s="104"/>
      <c r="HY235" s="104"/>
      <c r="HZ235" s="104"/>
      <c r="IA235" s="104"/>
      <c r="IB235" s="104"/>
      <c r="IC235" s="104"/>
      <c r="ID235" s="104"/>
      <c r="IE235" s="104"/>
      <c r="IF235" s="104"/>
      <c r="IG235" s="104"/>
      <c r="IH235" s="104"/>
      <c r="II235" s="104"/>
      <c r="IJ235" s="104"/>
      <c r="IK235" s="104"/>
      <c r="IL235" s="104"/>
      <c r="IM235" s="104"/>
      <c r="IN235" s="104"/>
      <c r="IO235" s="104"/>
      <c r="IP235" s="104"/>
      <c r="IQ235" s="104"/>
      <c r="IR235" s="104"/>
      <c r="IS235" s="104"/>
      <c r="IT235" s="104"/>
      <c r="IU235" s="104"/>
      <c r="IV235" s="104"/>
      <c r="IW235" s="104"/>
      <c r="IX235" s="104"/>
      <c r="IY235" s="104"/>
      <c r="IZ235" s="104"/>
      <c r="JA235" s="104"/>
    </row>
    <row r="236" spans="2:261" x14ac:dyDescent="0.2">
      <c r="B236" s="104"/>
      <c r="C236" s="104"/>
      <c r="D236" s="104"/>
      <c r="E236" s="104"/>
      <c r="F236" s="104"/>
      <c r="G236" s="104"/>
      <c r="H236" s="104"/>
      <c r="I236" s="104"/>
      <c r="J236" s="151"/>
      <c r="K236" s="104"/>
      <c r="L236" s="104"/>
      <c r="M236" s="104"/>
      <c r="N236" s="151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4"/>
      <c r="DB236" s="104"/>
      <c r="DC236" s="104"/>
      <c r="DD236" s="104"/>
      <c r="DE236" s="104"/>
      <c r="DF236" s="104"/>
      <c r="DG236" s="104"/>
      <c r="DH236" s="104"/>
      <c r="DI236" s="104"/>
      <c r="DJ236" s="104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104"/>
      <c r="DV236" s="104"/>
      <c r="DW236" s="104"/>
      <c r="DX236" s="104"/>
      <c r="DY236" s="104"/>
      <c r="DZ236" s="104"/>
      <c r="EA236" s="104"/>
      <c r="EB236" s="104"/>
      <c r="EC236" s="104"/>
      <c r="ED236" s="104"/>
      <c r="EE236" s="104"/>
      <c r="EF236" s="104"/>
      <c r="EG236" s="104"/>
      <c r="EH236" s="104"/>
      <c r="EI236" s="104"/>
      <c r="EJ236" s="104"/>
      <c r="EK236" s="104"/>
      <c r="EL236" s="104"/>
      <c r="EM236" s="104"/>
      <c r="EN236" s="104"/>
      <c r="EO236" s="104"/>
      <c r="EP236" s="104"/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4"/>
      <c r="FA236" s="104"/>
      <c r="FB236" s="104"/>
      <c r="FC236" s="104"/>
      <c r="FD236" s="104"/>
      <c r="FE236" s="104"/>
      <c r="FF236" s="104"/>
      <c r="FG236" s="104"/>
      <c r="FH236" s="104"/>
      <c r="FI236" s="104"/>
      <c r="FJ236" s="104"/>
      <c r="FK236" s="104"/>
      <c r="FL236" s="104"/>
      <c r="FM236" s="104"/>
      <c r="FN236" s="104"/>
      <c r="FO236" s="104"/>
      <c r="FP236" s="104"/>
      <c r="FQ236" s="104"/>
      <c r="FR236" s="104"/>
      <c r="FS236" s="104"/>
      <c r="FT236" s="104"/>
      <c r="FU236" s="104"/>
      <c r="FV236" s="104"/>
      <c r="FW236" s="104"/>
      <c r="FX236" s="104"/>
      <c r="FY236" s="104"/>
      <c r="FZ236" s="104"/>
      <c r="GA236" s="104"/>
      <c r="GB236" s="104"/>
      <c r="GC236" s="104"/>
      <c r="GD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  <c r="HA236" s="104"/>
      <c r="HB236" s="104"/>
      <c r="HC236" s="104"/>
      <c r="HD236" s="104"/>
      <c r="HE236" s="104"/>
      <c r="HF236" s="104"/>
      <c r="HG236" s="104"/>
      <c r="HH236" s="104"/>
      <c r="HI236" s="104"/>
      <c r="HJ236" s="104"/>
      <c r="HK236" s="104"/>
      <c r="HL236" s="104"/>
      <c r="HM236" s="104"/>
      <c r="HN236" s="104"/>
      <c r="HO236" s="104"/>
      <c r="HP236" s="104"/>
      <c r="HQ236" s="104"/>
      <c r="HR236" s="104"/>
      <c r="HS236" s="104"/>
      <c r="HT236" s="104"/>
      <c r="HU236" s="104"/>
      <c r="HV236" s="104"/>
      <c r="HW236" s="104"/>
      <c r="HX236" s="104"/>
      <c r="HY236" s="104"/>
      <c r="HZ236" s="104"/>
      <c r="IA236" s="104"/>
      <c r="IB236" s="104"/>
      <c r="IC236" s="104"/>
      <c r="ID236" s="104"/>
      <c r="IE236" s="104"/>
      <c r="IF236" s="104"/>
      <c r="IG236" s="104"/>
      <c r="IH236" s="104"/>
      <c r="II236" s="104"/>
      <c r="IJ236" s="104"/>
      <c r="IK236" s="104"/>
      <c r="IL236" s="104"/>
      <c r="IM236" s="104"/>
      <c r="IN236" s="104"/>
      <c r="IO236" s="104"/>
      <c r="IP236" s="104"/>
      <c r="IQ236" s="104"/>
      <c r="IR236" s="104"/>
      <c r="IS236" s="104"/>
      <c r="IT236" s="104"/>
      <c r="IU236" s="104"/>
      <c r="IV236" s="104"/>
      <c r="IW236" s="104"/>
      <c r="IX236" s="104"/>
      <c r="IY236" s="104"/>
      <c r="IZ236" s="104"/>
      <c r="JA236" s="104"/>
    </row>
    <row r="237" spans="2:261" x14ac:dyDescent="0.2">
      <c r="B237" s="104"/>
      <c r="C237" s="104"/>
      <c r="D237" s="104"/>
      <c r="E237" s="104"/>
      <c r="F237" s="104"/>
      <c r="G237" s="104"/>
      <c r="H237" s="104"/>
      <c r="I237" s="104"/>
      <c r="J237" s="151"/>
      <c r="K237" s="104"/>
      <c r="L237" s="104"/>
      <c r="M237" s="104"/>
      <c r="N237" s="151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4"/>
      <c r="DB237" s="104"/>
      <c r="DC237" s="104"/>
      <c r="DD237" s="104"/>
      <c r="DE237" s="104"/>
      <c r="DF237" s="104"/>
      <c r="DG237" s="104"/>
      <c r="DH237" s="104"/>
      <c r="DI237" s="104"/>
      <c r="DJ237" s="104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104"/>
      <c r="DV237" s="104"/>
      <c r="DW237" s="104"/>
      <c r="DX237" s="104"/>
      <c r="DY237" s="104"/>
      <c r="DZ237" s="104"/>
      <c r="EA237" s="104"/>
      <c r="EB237" s="104"/>
      <c r="EC237" s="104"/>
      <c r="ED237" s="104"/>
      <c r="EE237" s="104"/>
      <c r="EF237" s="104"/>
      <c r="EG237" s="104"/>
      <c r="EH237" s="104"/>
      <c r="EI237" s="104"/>
      <c r="EJ237" s="104"/>
      <c r="EK237" s="104"/>
      <c r="EL237" s="104"/>
      <c r="EM237" s="104"/>
      <c r="EN237" s="104"/>
      <c r="EO237" s="104"/>
      <c r="EP237" s="104"/>
      <c r="EQ237" s="104"/>
      <c r="ER237" s="104"/>
      <c r="ES237" s="104"/>
      <c r="ET237" s="104"/>
      <c r="EU237" s="104"/>
      <c r="EV237" s="104"/>
      <c r="EW237" s="104"/>
      <c r="EX237" s="104"/>
      <c r="EY237" s="104"/>
      <c r="EZ237" s="104"/>
      <c r="FA237" s="104"/>
      <c r="FB237" s="104"/>
      <c r="FC237" s="104"/>
      <c r="FD237" s="104"/>
      <c r="FE237" s="104"/>
      <c r="FF237" s="104"/>
      <c r="FG237" s="104"/>
      <c r="FH237" s="104"/>
      <c r="FI237" s="104"/>
      <c r="FJ237" s="104"/>
      <c r="FK237" s="104"/>
      <c r="FL237" s="104"/>
      <c r="FM237" s="104"/>
      <c r="FN237" s="104"/>
      <c r="FO237" s="104"/>
      <c r="FP237" s="104"/>
      <c r="FQ237" s="104"/>
      <c r="FR237" s="104"/>
      <c r="FS237" s="104"/>
      <c r="FT237" s="104"/>
      <c r="FU237" s="104"/>
      <c r="FV237" s="104"/>
      <c r="FW237" s="104"/>
      <c r="FX237" s="104"/>
      <c r="FY237" s="104"/>
      <c r="FZ237" s="104"/>
      <c r="GA237" s="104"/>
      <c r="GB237" s="104"/>
      <c r="GC237" s="104"/>
      <c r="GD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  <c r="HA237" s="104"/>
      <c r="HB237" s="104"/>
      <c r="HC237" s="104"/>
      <c r="HD237" s="104"/>
      <c r="HE237" s="104"/>
      <c r="HF237" s="104"/>
      <c r="HG237" s="104"/>
      <c r="HH237" s="104"/>
      <c r="HI237" s="104"/>
      <c r="HJ237" s="104"/>
      <c r="HK237" s="104"/>
      <c r="HL237" s="104"/>
      <c r="HM237" s="104"/>
      <c r="HN237" s="104"/>
      <c r="HO237" s="104"/>
      <c r="HP237" s="104"/>
      <c r="HQ237" s="104"/>
      <c r="HR237" s="104"/>
      <c r="HS237" s="104"/>
      <c r="HT237" s="104"/>
      <c r="HU237" s="104"/>
      <c r="HV237" s="104"/>
      <c r="HW237" s="104"/>
      <c r="HX237" s="104"/>
      <c r="HY237" s="104"/>
      <c r="HZ237" s="104"/>
      <c r="IA237" s="104"/>
      <c r="IB237" s="104"/>
      <c r="IC237" s="104"/>
      <c r="ID237" s="104"/>
      <c r="IE237" s="104"/>
      <c r="IF237" s="104"/>
      <c r="IG237" s="104"/>
      <c r="IH237" s="104"/>
      <c r="II237" s="104"/>
      <c r="IJ237" s="104"/>
      <c r="IK237" s="104"/>
      <c r="IL237" s="104"/>
      <c r="IM237" s="104"/>
      <c r="IN237" s="104"/>
      <c r="IO237" s="104"/>
      <c r="IP237" s="104"/>
      <c r="IQ237" s="104"/>
      <c r="IR237" s="104"/>
      <c r="IS237" s="104"/>
      <c r="IT237" s="104"/>
      <c r="IU237" s="104"/>
      <c r="IV237" s="104"/>
      <c r="IW237" s="104"/>
      <c r="IX237" s="104"/>
      <c r="IY237" s="104"/>
      <c r="IZ237" s="104"/>
      <c r="JA237" s="104"/>
    </row>
    <row r="238" spans="2:261" x14ac:dyDescent="0.2">
      <c r="B238" s="104"/>
      <c r="C238" s="104"/>
      <c r="D238" s="104"/>
      <c r="E238" s="104"/>
      <c r="F238" s="104"/>
      <c r="G238" s="104"/>
      <c r="H238" s="104"/>
      <c r="I238" s="104"/>
      <c r="J238" s="151"/>
      <c r="K238" s="104"/>
      <c r="L238" s="104"/>
      <c r="M238" s="104"/>
      <c r="N238" s="151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4"/>
      <c r="DB238" s="104"/>
      <c r="DC238" s="104"/>
      <c r="DD238" s="104"/>
      <c r="DE238" s="104"/>
      <c r="DF238" s="104"/>
      <c r="DG238" s="104"/>
      <c r="DH238" s="104"/>
      <c r="DI238" s="104"/>
      <c r="DJ238" s="104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104"/>
      <c r="DV238" s="104"/>
      <c r="DW238" s="104"/>
      <c r="DX238" s="104"/>
      <c r="DY238" s="104"/>
      <c r="DZ238" s="104"/>
      <c r="EA238" s="104"/>
      <c r="EB238" s="104"/>
      <c r="EC238" s="104"/>
      <c r="ED238" s="104"/>
      <c r="EE238" s="104"/>
      <c r="EF238" s="104"/>
      <c r="EG238" s="104"/>
      <c r="EH238" s="104"/>
      <c r="EI238" s="104"/>
      <c r="EJ238" s="104"/>
      <c r="EK238" s="104"/>
      <c r="EL238" s="104"/>
      <c r="EM238" s="104"/>
      <c r="EN238" s="104"/>
      <c r="EO238" s="104"/>
      <c r="EP238" s="104"/>
      <c r="EQ238" s="104"/>
      <c r="ER238" s="104"/>
      <c r="ES238" s="104"/>
      <c r="ET238" s="104"/>
      <c r="EU238" s="104"/>
      <c r="EV238" s="104"/>
      <c r="EW238" s="104"/>
      <c r="EX238" s="104"/>
      <c r="EY238" s="104"/>
      <c r="EZ238" s="104"/>
      <c r="FA238" s="104"/>
      <c r="FB238" s="104"/>
      <c r="FC238" s="104"/>
      <c r="FD238" s="104"/>
      <c r="FE238" s="104"/>
      <c r="FF238" s="104"/>
      <c r="FG238" s="104"/>
      <c r="FH238" s="104"/>
      <c r="FI238" s="104"/>
      <c r="FJ238" s="104"/>
      <c r="FK238" s="104"/>
      <c r="FL238" s="104"/>
      <c r="FM238" s="104"/>
      <c r="FN238" s="104"/>
      <c r="FO238" s="104"/>
      <c r="FP238" s="104"/>
      <c r="FQ238" s="104"/>
      <c r="FR238" s="104"/>
      <c r="FS238" s="104"/>
      <c r="FT238" s="104"/>
      <c r="FU238" s="104"/>
      <c r="FV238" s="104"/>
      <c r="FW238" s="104"/>
      <c r="FX238" s="104"/>
      <c r="FY238" s="104"/>
      <c r="FZ238" s="104"/>
      <c r="GA238" s="104"/>
      <c r="GB238" s="104"/>
      <c r="GC238" s="104"/>
      <c r="GD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  <c r="HA238" s="104"/>
      <c r="HB238" s="104"/>
      <c r="HC238" s="104"/>
      <c r="HD238" s="104"/>
      <c r="HE238" s="104"/>
      <c r="HF238" s="104"/>
      <c r="HG238" s="104"/>
      <c r="HH238" s="104"/>
      <c r="HI238" s="104"/>
      <c r="HJ238" s="104"/>
      <c r="HK238" s="104"/>
      <c r="HL238" s="104"/>
      <c r="HM238" s="104"/>
      <c r="HN238" s="104"/>
      <c r="HO238" s="104"/>
      <c r="HP238" s="104"/>
      <c r="HQ238" s="104"/>
      <c r="HR238" s="104"/>
      <c r="HS238" s="104"/>
      <c r="HT238" s="104"/>
      <c r="HU238" s="104"/>
      <c r="HV238" s="104"/>
      <c r="HW238" s="104"/>
      <c r="HX238" s="104"/>
      <c r="HY238" s="104"/>
      <c r="HZ238" s="104"/>
      <c r="IA238" s="104"/>
      <c r="IB238" s="104"/>
      <c r="IC238" s="104"/>
      <c r="ID238" s="104"/>
      <c r="IE238" s="104"/>
      <c r="IF238" s="104"/>
      <c r="IG238" s="104"/>
      <c r="IH238" s="104"/>
      <c r="II238" s="104"/>
      <c r="IJ238" s="104"/>
      <c r="IK238" s="104"/>
      <c r="IL238" s="104"/>
      <c r="IM238" s="104"/>
      <c r="IN238" s="104"/>
      <c r="IO238" s="104"/>
      <c r="IP238" s="104"/>
      <c r="IQ238" s="104"/>
      <c r="IR238" s="104"/>
      <c r="IS238" s="104"/>
      <c r="IT238" s="104"/>
      <c r="IU238" s="104"/>
      <c r="IV238" s="104"/>
      <c r="IW238" s="104"/>
      <c r="IX238" s="104"/>
      <c r="IY238" s="104"/>
      <c r="IZ238" s="104"/>
      <c r="JA238" s="104"/>
    </row>
    <row r="239" spans="2:261" x14ac:dyDescent="0.2">
      <c r="B239" s="104"/>
      <c r="C239" s="104"/>
      <c r="D239" s="104"/>
      <c r="E239" s="104"/>
      <c r="F239" s="104"/>
      <c r="G239" s="104"/>
      <c r="H239" s="104"/>
      <c r="I239" s="104"/>
      <c r="J239" s="151"/>
      <c r="K239" s="104"/>
      <c r="L239" s="104"/>
      <c r="M239" s="104"/>
      <c r="N239" s="151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04"/>
      <c r="EZ239" s="104"/>
      <c r="FA239" s="104"/>
      <c r="FB239" s="104"/>
      <c r="FC239" s="104"/>
      <c r="FD239" s="104"/>
      <c r="FE239" s="104"/>
      <c r="FF239" s="104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  <c r="HO239" s="104"/>
      <c r="HP239" s="104"/>
      <c r="HQ239" s="104"/>
      <c r="HR239" s="104"/>
      <c r="HS239" s="104"/>
      <c r="HT239" s="104"/>
      <c r="HU239" s="104"/>
      <c r="HV239" s="104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  <c r="IW239" s="104"/>
      <c r="IX239" s="104"/>
      <c r="IY239" s="104"/>
      <c r="IZ239" s="104"/>
      <c r="JA239" s="104"/>
    </row>
    <row r="240" spans="2:261" x14ac:dyDescent="0.2">
      <c r="B240" s="104"/>
      <c r="C240" s="104"/>
      <c r="D240" s="104"/>
      <c r="E240" s="104"/>
      <c r="F240" s="104"/>
      <c r="G240" s="104"/>
      <c r="H240" s="104"/>
      <c r="I240" s="104"/>
      <c r="J240" s="151"/>
      <c r="K240" s="104"/>
      <c r="L240" s="104"/>
      <c r="M240" s="104"/>
      <c r="N240" s="151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4"/>
      <c r="DB240" s="104"/>
      <c r="DC240" s="104"/>
      <c r="DD240" s="104"/>
      <c r="DE240" s="104"/>
      <c r="DF240" s="104"/>
      <c r="DG240" s="104"/>
      <c r="DH240" s="104"/>
      <c r="DI240" s="104"/>
      <c r="DJ240" s="104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104"/>
      <c r="DV240" s="104"/>
      <c r="DW240" s="104"/>
      <c r="DX240" s="104"/>
      <c r="DY240" s="104"/>
      <c r="DZ240" s="104"/>
      <c r="EA240" s="104"/>
      <c r="EB240" s="104"/>
      <c r="EC240" s="104"/>
      <c r="ED240" s="104"/>
      <c r="EE240" s="104"/>
      <c r="EF240" s="104"/>
      <c r="EG240" s="104"/>
      <c r="EH240" s="104"/>
      <c r="EI240" s="104"/>
      <c r="EJ240" s="104"/>
      <c r="EK240" s="104"/>
      <c r="EL240" s="104"/>
      <c r="EM240" s="104"/>
      <c r="EN240" s="104"/>
      <c r="EO240" s="104"/>
      <c r="EP240" s="104"/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4"/>
      <c r="FA240" s="104"/>
      <c r="FB240" s="104"/>
      <c r="FC240" s="104"/>
      <c r="FD240" s="104"/>
      <c r="FE240" s="104"/>
      <c r="FF240" s="104"/>
      <c r="FG240" s="104"/>
      <c r="FH240" s="104"/>
      <c r="FI240" s="104"/>
      <c r="FJ240" s="104"/>
      <c r="FK240" s="104"/>
      <c r="FL240" s="104"/>
      <c r="FM240" s="104"/>
      <c r="FN240" s="104"/>
      <c r="FO240" s="104"/>
      <c r="FP240" s="104"/>
      <c r="FQ240" s="104"/>
      <c r="FR240" s="104"/>
      <c r="FS240" s="104"/>
      <c r="FT240" s="104"/>
      <c r="FU240" s="104"/>
      <c r="FV240" s="104"/>
      <c r="FW240" s="104"/>
      <c r="FX240" s="104"/>
      <c r="FY240" s="104"/>
      <c r="FZ240" s="104"/>
      <c r="GA240" s="104"/>
      <c r="GB240" s="104"/>
      <c r="GC240" s="104"/>
      <c r="GD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  <c r="HA240" s="104"/>
      <c r="HB240" s="104"/>
      <c r="HC240" s="104"/>
      <c r="HD240" s="104"/>
      <c r="HE240" s="104"/>
      <c r="HF240" s="104"/>
      <c r="HG240" s="104"/>
      <c r="HH240" s="104"/>
      <c r="HI240" s="104"/>
      <c r="HJ240" s="104"/>
      <c r="HK240" s="104"/>
      <c r="HL240" s="104"/>
      <c r="HM240" s="104"/>
      <c r="HN240" s="104"/>
      <c r="HO240" s="104"/>
      <c r="HP240" s="104"/>
      <c r="HQ240" s="104"/>
      <c r="HR240" s="104"/>
      <c r="HS240" s="104"/>
      <c r="HT240" s="104"/>
      <c r="HU240" s="104"/>
      <c r="HV240" s="104"/>
      <c r="HW240" s="104"/>
      <c r="HX240" s="104"/>
      <c r="HY240" s="104"/>
      <c r="HZ240" s="104"/>
      <c r="IA240" s="104"/>
      <c r="IB240" s="104"/>
      <c r="IC240" s="104"/>
      <c r="ID240" s="104"/>
      <c r="IE240" s="104"/>
      <c r="IF240" s="104"/>
      <c r="IG240" s="104"/>
      <c r="IH240" s="104"/>
      <c r="II240" s="104"/>
      <c r="IJ240" s="104"/>
      <c r="IK240" s="104"/>
      <c r="IL240" s="104"/>
      <c r="IM240" s="104"/>
      <c r="IN240" s="104"/>
      <c r="IO240" s="104"/>
      <c r="IP240" s="104"/>
      <c r="IQ240" s="104"/>
      <c r="IR240" s="104"/>
      <c r="IS240" s="104"/>
      <c r="IT240" s="104"/>
      <c r="IU240" s="104"/>
      <c r="IV240" s="104"/>
      <c r="IW240" s="104"/>
      <c r="IX240" s="104"/>
      <c r="IY240" s="104"/>
      <c r="IZ240" s="104"/>
      <c r="JA240" s="104"/>
    </row>
    <row r="241" spans="2:261" x14ac:dyDescent="0.2">
      <c r="B241" s="104"/>
      <c r="C241" s="104"/>
      <c r="D241" s="104"/>
      <c r="E241" s="104"/>
      <c r="F241" s="104"/>
      <c r="G241" s="104"/>
      <c r="H241" s="104"/>
      <c r="I241" s="104"/>
      <c r="J241" s="151"/>
      <c r="K241" s="104"/>
      <c r="L241" s="104"/>
      <c r="M241" s="104"/>
      <c r="N241" s="151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4"/>
      <c r="DB241" s="104"/>
      <c r="DC241" s="104"/>
      <c r="DD241" s="104"/>
      <c r="DE241" s="104"/>
      <c r="DF241" s="104"/>
      <c r="DG241" s="104"/>
      <c r="DH241" s="104"/>
      <c r="DI241" s="104"/>
      <c r="DJ241" s="104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104"/>
      <c r="DV241" s="104"/>
      <c r="DW241" s="104"/>
      <c r="DX241" s="104"/>
      <c r="DY241" s="104"/>
      <c r="DZ241" s="104"/>
      <c r="EA241" s="104"/>
      <c r="EB241" s="104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04"/>
      <c r="EZ241" s="104"/>
      <c r="FA241" s="104"/>
      <c r="FB241" s="104"/>
      <c r="FC241" s="104"/>
      <c r="FD241" s="104"/>
      <c r="FE241" s="104"/>
      <c r="FF241" s="104"/>
      <c r="FG241" s="104"/>
      <c r="FH241" s="104"/>
      <c r="FI241" s="104"/>
      <c r="FJ241" s="104"/>
      <c r="FK241" s="104"/>
      <c r="FL241" s="104"/>
      <c r="FM241" s="104"/>
      <c r="FN241" s="104"/>
      <c r="FO241" s="104"/>
      <c r="FP241" s="104"/>
      <c r="FQ241" s="104"/>
      <c r="FR241" s="104"/>
      <c r="FS241" s="104"/>
      <c r="FT241" s="104"/>
      <c r="FU241" s="104"/>
      <c r="FV241" s="104"/>
      <c r="FW241" s="104"/>
      <c r="FX241" s="104"/>
      <c r="FY241" s="104"/>
      <c r="FZ241" s="104"/>
      <c r="GA241" s="104"/>
      <c r="GB241" s="104"/>
      <c r="GC241" s="104"/>
      <c r="GD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  <c r="HL241" s="104"/>
      <c r="HM241" s="104"/>
      <c r="HN241" s="104"/>
      <c r="HO241" s="104"/>
      <c r="HP241" s="104"/>
      <c r="HQ241" s="104"/>
      <c r="HR241" s="104"/>
      <c r="HS241" s="104"/>
      <c r="HT241" s="104"/>
      <c r="HU241" s="104"/>
      <c r="HV241" s="104"/>
      <c r="HW241" s="104"/>
      <c r="HX241" s="104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  <c r="IW241" s="104"/>
      <c r="IX241" s="104"/>
      <c r="IY241" s="104"/>
      <c r="IZ241" s="104"/>
      <c r="JA241" s="104"/>
    </row>
    <row r="242" spans="2:261" x14ac:dyDescent="0.2">
      <c r="B242" s="104"/>
      <c r="C242" s="104"/>
      <c r="D242" s="104"/>
      <c r="E242" s="104"/>
      <c r="F242" s="104"/>
      <c r="G242" s="104"/>
      <c r="H242" s="104"/>
      <c r="I242" s="104"/>
      <c r="J242" s="151"/>
      <c r="K242" s="104"/>
      <c r="L242" s="104"/>
      <c r="M242" s="104"/>
      <c r="N242" s="151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  <c r="DI242" s="104"/>
      <c r="DJ242" s="104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104"/>
      <c r="DV242" s="104"/>
      <c r="DW242" s="104"/>
      <c r="DX242" s="104"/>
      <c r="DY242" s="104"/>
      <c r="DZ242" s="104"/>
      <c r="EA242" s="104"/>
      <c r="EB242" s="104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4"/>
      <c r="EP242" s="104"/>
      <c r="EQ242" s="104"/>
      <c r="ER242" s="104"/>
      <c r="ES242" s="104"/>
      <c r="ET242" s="104"/>
      <c r="EU242" s="104"/>
      <c r="EV242" s="104"/>
      <c r="EW242" s="104"/>
      <c r="EX242" s="104"/>
      <c r="EY242" s="104"/>
      <c r="EZ242" s="104"/>
      <c r="FA242" s="104"/>
      <c r="FB242" s="104"/>
      <c r="FC242" s="104"/>
      <c r="FD242" s="104"/>
      <c r="FE242" s="104"/>
      <c r="FF242" s="104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4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  <c r="HO242" s="104"/>
      <c r="HP242" s="104"/>
      <c r="HQ242" s="104"/>
      <c r="HR242" s="104"/>
      <c r="HS242" s="104"/>
      <c r="HT242" s="104"/>
      <c r="HU242" s="104"/>
      <c r="HV242" s="104"/>
      <c r="HW242" s="104"/>
      <c r="HX242" s="104"/>
      <c r="HY242" s="104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  <c r="IW242" s="104"/>
      <c r="IX242" s="104"/>
      <c r="IY242" s="104"/>
      <c r="IZ242" s="104"/>
      <c r="JA242" s="104"/>
    </row>
    <row r="243" spans="2:261" x14ac:dyDescent="0.2">
      <c r="B243" s="104"/>
      <c r="C243" s="104"/>
      <c r="D243" s="104"/>
      <c r="E243" s="104"/>
      <c r="F243" s="104"/>
      <c r="G243" s="104"/>
      <c r="H243" s="104"/>
      <c r="I243" s="104"/>
      <c r="J243" s="151"/>
      <c r="K243" s="104"/>
      <c r="L243" s="104"/>
      <c r="M243" s="104"/>
      <c r="N243" s="151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4"/>
      <c r="DB243" s="104"/>
      <c r="DC243" s="104"/>
      <c r="DD243" s="104"/>
      <c r="DE243" s="104"/>
      <c r="DF243" s="104"/>
      <c r="DG243" s="104"/>
      <c r="DH243" s="104"/>
      <c r="DI243" s="104"/>
      <c r="DJ243" s="104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104"/>
      <c r="DV243" s="104"/>
      <c r="DW243" s="104"/>
      <c r="DX243" s="104"/>
      <c r="DY243" s="104"/>
      <c r="DZ243" s="104"/>
      <c r="EA243" s="104"/>
      <c r="EB243" s="104"/>
      <c r="EC243" s="104"/>
      <c r="ED243" s="104"/>
      <c r="EE243" s="104"/>
      <c r="EF243" s="104"/>
      <c r="EG243" s="104"/>
      <c r="EH243" s="104"/>
      <c r="EI243" s="104"/>
      <c r="EJ243" s="104"/>
      <c r="EK243" s="104"/>
      <c r="EL243" s="104"/>
      <c r="EM243" s="104"/>
      <c r="EN243" s="104"/>
      <c r="EO243" s="104"/>
      <c r="EP243" s="104"/>
      <c r="EQ243" s="104"/>
      <c r="ER243" s="104"/>
      <c r="ES243" s="104"/>
      <c r="ET243" s="104"/>
      <c r="EU243" s="104"/>
      <c r="EV243" s="104"/>
      <c r="EW243" s="104"/>
      <c r="EX243" s="104"/>
      <c r="EY243" s="104"/>
      <c r="EZ243" s="104"/>
      <c r="FA243" s="104"/>
      <c r="FB243" s="104"/>
      <c r="FC243" s="104"/>
      <c r="FD243" s="104"/>
      <c r="FE243" s="104"/>
      <c r="FF243" s="104"/>
      <c r="FG243" s="104"/>
      <c r="FH243" s="104"/>
      <c r="FI243" s="104"/>
      <c r="FJ243" s="104"/>
      <c r="FK243" s="104"/>
      <c r="FL243" s="104"/>
      <c r="FM243" s="104"/>
      <c r="FN243" s="104"/>
      <c r="FO243" s="104"/>
      <c r="FP243" s="104"/>
      <c r="FQ243" s="104"/>
      <c r="FR243" s="104"/>
      <c r="FS243" s="104"/>
      <c r="FT243" s="104"/>
      <c r="FU243" s="104"/>
      <c r="FV243" s="104"/>
      <c r="FW243" s="104"/>
      <c r="FX243" s="104"/>
      <c r="FY243" s="104"/>
      <c r="FZ243" s="104"/>
      <c r="GA243" s="104"/>
      <c r="GB243" s="104"/>
      <c r="GC243" s="104"/>
      <c r="GD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  <c r="HA243" s="104"/>
      <c r="HB243" s="104"/>
      <c r="HC243" s="104"/>
      <c r="HD243" s="104"/>
      <c r="HE243" s="104"/>
      <c r="HF243" s="104"/>
      <c r="HG243" s="104"/>
      <c r="HH243" s="104"/>
      <c r="HI243" s="104"/>
      <c r="HJ243" s="104"/>
      <c r="HK243" s="104"/>
      <c r="HL243" s="104"/>
      <c r="HM243" s="104"/>
      <c r="HN243" s="104"/>
      <c r="HO243" s="104"/>
      <c r="HP243" s="104"/>
      <c r="HQ243" s="104"/>
      <c r="HR243" s="104"/>
      <c r="HS243" s="104"/>
      <c r="HT243" s="104"/>
      <c r="HU243" s="104"/>
      <c r="HV243" s="104"/>
      <c r="HW243" s="104"/>
      <c r="HX243" s="104"/>
      <c r="HY243" s="104"/>
      <c r="HZ243" s="104"/>
      <c r="IA243" s="104"/>
      <c r="IB243" s="104"/>
      <c r="IC243" s="104"/>
      <c r="ID243" s="104"/>
      <c r="IE243" s="104"/>
      <c r="IF243" s="104"/>
      <c r="IG243" s="104"/>
      <c r="IH243" s="104"/>
      <c r="II243" s="104"/>
      <c r="IJ243" s="104"/>
      <c r="IK243" s="104"/>
      <c r="IL243" s="104"/>
      <c r="IM243" s="104"/>
      <c r="IN243" s="104"/>
      <c r="IO243" s="104"/>
      <c r="IP243" s="104"/>
      <c r="IQ243" s="104"/>
      <c r="IR243" s="104"/>
      <c r="IS243" s="104"/>
      <c r="IT243" s="104"/>
      <c r="IU243" s="104"/>
      <c r="IV243" s="104"/>
      <c r="IW243" s="104"/>
      <c r="IX243" s="104"/>
      <c r="IY243" s="104"/>
      <c r="IZ243" s="104"/>
      <c r="JA243" s="104"/>
    </row>
    <row r="244" spans="2:261" x14ac:dyDescent="0.2">
      <c r="B244" s="104"/>
      <c r="C244" s="104"/>
      <c r="D244" s="104"/>
      <c r="E244" s="104"/>
      <c r="F244" s="104"/>
      <c r="G244" s="104"/>
      <c r="H244" s="104"/>
      <c r="I244" s="104"/>
      <c r="J244" s="151"/>
      <c r="K244" s="104"/>
      <c r="L244" s="104"/>
      <c r="M244" s="104"/>
      <c r="N244" s="151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4"/>
      <c r="DB244" s="104"/>
      <c r="DC244" s="104"/>
      <c r="DD244" s="104"/>
      <c r="DE244" s="104"/>
      <c r="DF244" s="104"/>
      <c r="DG244" s="104"/>
      <c r="DH244" s="104"/>
      <c r="DI244" s="104"/>
      <c r="DJ244" s="104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104"/>
      <c r="DV244" s="104"/>
      <c r="DW244" s="104"/>
      <c r="DX244" s="104"/>
      <c r="DY244" s="104"/>
      <c r="DZ244" s="104"/>
      <c r="EA244" s="104"/>
      <c r="EB244" s="104"/>
      <c r="EC244" s="104"/>
      <c r="ED244" s="104"/>
      <c r="EE244" s="104"/>
      <c r="EF244" s="104"/>
      <c r="EG244" s="104"/>
      <c r="EH244" s="104"/>
      <c r="EI244" s="104"/>
      <c r="EJ244" s="104"/>
      <c r="EK244" s="104"/>
      <c r="EL244" s="104"/>
      <c r="EM244" s="104"/>
      <c r="EN244" s="104"/>
      <c r="EO244" s="104"/>
      <c r="EP244" s="104"/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4"/>
      <c r="FA244" s="104"/>
      <c r="FB244" s="104"/>
      <c r="FC244" s="104"/>
      <c r="FD244" s="104"/>
      <c r="FE244" s="104"/>
      <c r="FF244" s="104"/>
      <c r="FG244" s="104"/>
      <c r="FH244" s="104"/>
      <c r="FI244" s="104"/>
      <c r="FJ244" s="104"/>
      <c r="FK244" s="104"/>
      <c r="FL244" s="104"/>
      <c r="FM244" s="104"/>
      <c r="FN244" s="104"/>
      <c r="FO244" s="104"/>
      <c r="FP244" s="104"/>
      <c r="FQ244" s="104"/>
      <c r="FR244" s="104"/>
      <c r="FS244" s="104"/>
      <c r="FT244" s="104"/>
      <c r="FU244" s="104"/>
      <c r="FV244" s="104"/>
      <c r="FW244" s="104"/>
      <c r="FX244" s="104"/>
      <c r="FY244" s="104"/>
      <c r="FZ244" s="104"/>
      <c r="GA244" s="104"/>
      <c r="GB244" s="104"/>
      <c r="GC244" s="104"/>
      <c r="GD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  <c r="HA244" s="104"/>
      <c r="HB244" s="104"/>
      <c r="HC244" s="104"/>
      <c r="HD244" s="104"/>
      <c r="HE244" s="104"/>
      <c r="HF244" s="104"/>
      <c r="HG244" s="104"/>
      <c r="HH244" s="104"/>
      <c r="HI244" s="104"/>
      <c r="HJ244" s="104"/>
      <c r="HK244" s="104"/>
      <c r="HL244" s="104"/>
      <c r="HM244" s="104"/>
      <c r="HN244" s="104"/>
      <c r="HO244" s="104"/>
      <c r="HP244" s="104"/>
      <c r="HQ244" s="104"/>
      <c r="HR244" s="104"/>
      <c r="HS244" s="104"/>
      <c r="HT244" s="104"/>
      <c r="HU244" s="104"/>
      <c r="HV244" s="104"/>
      <c r="HW244" s="104"/>
      <c r="HX244" s="104"/>
      <c r="HY244" s="104"/>
      <c r="HZ244" s="104"/>
      <c r="IA244" s="104"/>
      <c r="IB244" s="104"/>
      <c r="IC244" s="104"/>
      <c r="ID244" s="104"/>
      <c r="IE244" s="104"/>
      <c r="IF244" s="104"/>
      <c r="IG244" s="104"/>
      <c r="IH244" s="104"/>
      <c r="II244" s="104"/>
      <c r="IJ244" s="104"/>
      <c r="IK244" s="104"/>
      <c r="IL244" s="104"/>
      <c r="IM244" s="104"/>
      <c r="IN244" s="104"/>
      <c r="IO244" s="104"/>
      <c r="IP244" s="104"/>
      <c r="IQ244" s="104"/>
      <c r="IR244" s="104"/>
      <c r="IS244" s="104"/>
      <c r="IT244" s="104"/>
      <c r="IU244" s="104"/>
      <c r="IV244" s="104"/>
      <c r="IW244" s="104"/>
      <c r="IX244" s="104"/>
      <c r="IY244" s="104"/>
      <c r="IZ244" s="104"/>
      <c r="JA244" s="104"/>
    </row>
    <row r="245" spans="2:261" x14ac:dyDescent="0.2">
      <c r="B245" s="104"/>
      <c r="C245" s="104"/>
      <c r="D245" s="104"/>
      <c r="E245" s="104"/>
      <c r="F245" s="104"/>
      <c r="G245" s="104"/>
      <c r="H245" s="104"/>
      <c r="I245" s="104"/>
      <c r="J245" s="151"/>
      <c r="K245" s="104"/>
      <c r="L245" s="104"/>
      <c r="M245" s="104"/>
      <c r="N245" s="151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4"/>
      <c r="DB245" s="104"/>
      <c r="DC245" s="104"/>
      <c r="DD245" s="104"/>
      <c r="DE245" s="104"/>
      <c r="DF245" s="104"/>
      <c r="DG245" s="104"/>
      <c r="DH245" s="104"/>
      <c r="DI245" s="104"/>
      <c r="DJ245" s="104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104"/>
      <c r="DV245" s="104"/>
      <c r="DW245" s="104"/>
      <c r="DX245" s="104"/>
      <c r="DY245" s="104"/>
      <c r="DZ245" s="104"/>
      <c r="EA245" s="104"/>
      <c r="EB245" s="104"/>
      <c r="EC245" s="104"/>
      <c r="ED245" s="104"/>
      <c r="EE245" s="104"/>
      <c r="EF245" s="104"/>
      <c r="EG245" s="104"/>
      <c r="EH245" s="104"/>
      <c r="EI245" s="104"/>
      <c r="EJ245" s="104"/>
      <c r="EK245" s="104"/>
      <c r="EL245" s="104"/>
      <c r="EM245" s="104"/>
      <c r="EN245" s="104"/>
      <c r="EO245" s="104"/>
      <c r="EP245" s="104"/>
      <c r="EQ245" s="104"/>
      <c r="ER245" s="104"/>
      <c r="ES245" s="104"/>
      <c r="ET245" s="104"/>
      <c r="EU245" s="104"/>
      <c r="EV245" s="104"/>
      <c r="EW245" s="104"/>
      <c r="EX245" s="104"/>
      <c r="EY245" s="104"/>
      <c r="EZ245" s="104"/>
      <c r="FA245" s="104"/>
      <c r="FB245" s="104"/>
      <c r="FC245" s="104"/>
      <c r="FD245" s="104"/>
      <c r="FE245" s="104"/>
      <c r="FF245" s="104"/>
      <c r="FG245" s="104"/>
      <c r="FH245" s="104"/>
      <c r="FI245" s="104"/>
      <c r="FJ245" s="104"/>
      <c r="FK245" s="104"/>
      <c r="FL245" s="104"/>
      <c r="FM245" s="104"/>
      <c r="FN245" s="104"/>
      <c r="FO245" s="104"/>
      <c r="FP245" s="104"/>
      <c r="FQ245" s="104"/>
      <c r="FR245" s="104"/>
      <c r="FS245" s="104"/>
      <c r="FT245" s="104"/>
      <c r="FU245" s="104"/>
      <c r="FV245" s="104"/>
      <c r="FW245" s="104"/>
      <c r="FX245" s="104"/>
      <c r="FY245" s="104"/>
      <c r="FZ245" s="104"/>
      <c r="GA245" s="104"/>
      <c r="GB245" s="104"/>
      <c r="GC245" s="104"/>
      <c r="GD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  <c r="HA245" s="104"/>
      <c r="HB245" s="104"/>
      <c r="HC245" s="104"/>
      <c r="HD245" s="104"/>
      <c r="HE245" s="104"/>
      <c r="HF245" s="104"/>
      <c r="HG245" s="104"/>
      <c r="HH245" s="104"/>
      <c r="HI245" s="104"/>
      <c r="HJ245" s="104"/>
      <c r="HK245" s="104"/>
      <c r="HL245" s="104"/>
      <c r="HM245" s="104"/>
      <c r="HN245" s="104"/>
      <c r="HO245" s="104"/>
      <c r="HP245" s="104"/>
      <c r="HQ245" s="104"/>
      <c r="HR245" s="104"/>
      <c r="HS245" s="104"/>
      <c r="HT245" s="104"/>
      <c r="HU245" s="104"/>
      <c r="HV245" s="104"/>
      <c r="HW245" s="104"/>
      <c r="HX245" s="104"/>
      <c r="HY245" s="104"/>
      <c r="HZ245" s="104"/>
      <c r="IA245" s="104"/>
      <c r="IB245" s="104"/>
      <c r="IC245" s="104"/>
      <c r="ID245" s="104"/>
      <c r="IE245" s="104"/>
      <c r="IF245" s="104"/>
      <c r="IG245" s="104"/>
      <c r="IH245" s="104"/>
      <c r="II245" s="104"/>
      <c r="IJ245" s="104"/>
      <c r="IK245" s="104"/>
      <c r="IL245" s="104"/>
      <c r="IM245" s="104"/>
      <c r="IN245" s="104"/>
      <c r="IO245" s="104"/>
      <c r="IP245" s="104"/>
      <c r="IQ245" s="104"/>
      <c r="IR245" s="104"/>
      <c r="IS245" s="104"/>
      <c r="IT245" s="104"/>
      <c r="IU245" s="104"/>
      <c r="IV245" s="104"/>
      <c r="IW245" s="104"/>
      <c r="IX245" s="104"/>
      <c r="IY245" s="104"/>
      <c r="IZ245" s="104"/>
      <c r="JA245" s="104"/>
    </row>
    <row r="246" spans="2:261" x14ac:dyDescent="0.2">
      <c r="B246" s="104"/>
      <c r="C246" s="104"/>
      <c r="D246" s="104"/>
      <c r="E246" s="104"/>
      <c r="F246" s="104"/>
      <c r="G246" s="104"/>
      <c r="H246" s="104"/>
      <c r="I246" s="104"/>
      <c r="J246" s="151"/>
      <c r="K246" s="104"/>
      <c r="L246" s="104"/>
      <c r="M246" s="104"/>
      <c r="N246" s="151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4"/>
      <c r="DB246" s="104"/>
      <c r="DC246" s="104"/>
      <c r="DD246" s="104"/>
      <c r="DE246" s="104"/>
      <c r="DF246" s="104"/>
      <c r="DG246" s="104"/>
      <c r="DH246" s="104"/>
      <c r="DI246" s="104"/>
      <c r="DJ246" s="104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104"/>
      <c r="DV246" s="104"/>
      <c r="DW246" s="104"/>
      <c r="DX246" s="104"/>
      <c r="DY246" s="104"/>
      <c r="DZ246" s="104"/>
      <c r="EA246" s="104"/>
      <c r="EB246" s="104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04"/>
      <c r="EZ246" s="104"/>
      <c r="FA246" s="104"/>
      <c r="FB246" s="104"/>
      <c r="FC246" s="104"/>
      <c r="FD246" s="104"/>
      <c r="FE246" s="104"/>
      <c r="FF246" s="104"/>
      <c r="FG246" s="104"/>
      <c r="FH246" s="104"/>
      <c r="FI246" s="104"/>
      <c r="FJ246" s="104"/>
      <c r="FK246" s="104"/>
      <c r="FL246" s="104"/>
      <c r="FM246" s="104"/>
      <c r="FN246" s="104"/>
      <c r="FO246" s="104"/>
      <c r="FP246" s="104"/>
      <c r="FQ246" s="104"/>
      <c r="FR246" s="104"/>
      <c r="FS246" s="104"/>
      <c r="FT246" s="104"/>
      <c r="FU246" s="104"/>
      <c r="FV246" s="104"/>
      <c r="FW246" s="104"/>
      <c r="FX246" s="104"/>
      <c r="FY246" s="104"/>
      <c r="FZ246" s="104"/>
      <c r="GA246" s="104"/>
      <c r="GB246" s="104"/>
      <c r="GC246" s="104"/>
      <c r="GD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  <c r="HJ246" s="104"/>
      <c r="HK246" s="104"/>
      <c r="HL246" s="104"/>
      <c r="HM246" s="104"/>
      <c r="HN246" s="104"/>
      <c r="HO246" s="104"/>
      <c r="HP246" s="104"/>
      <c r="HQ246" s="104"/>
      <c r="HR246" s="104"/>
      <c r="HS246" s="104"/>
      <c r="HT246" s="104"/>
      <c r="HU246" s="104"/>
      <c r="HV246" s="104"/>
      <c r="HW246" s="104"/>
      <c r="HX246" s="104"/>
      <c r="HY246" s="104"/>
      <c r="HZ246" s="104"/>
      <c r="IA246" s="104"/>
      <c r="IB246" s="104"/>
      <c r="IC246" s="104"/>
      <c r="ID246" s="104"/>
      <c r="IE246" s="104"/>
      <c r="IF246" s="104"/>
      <c r="IG246" s="104"/>
      <c r="IH246" s="104"/>
      <c r="II246" s="104"/>
      <c r="IJ246" s="104"/>
      <c r="IK246" s="104"/>
      <c r="IL246" s="104"/>
      <c r="IM246" s="104"/>
      <c r="IN246" s="104"/>
      <c r="IO246" s="104"/>
      <c r="IP246" s="104"/>
      <c r="IQ246" s="104"/>
      <c r="IR246" s="104"/>
      <c r="IS246" s="104"/>
      <c r="IT246" s="104"/>
      <c r="IU246" s="104"/>
      <c r="IV246" s="104"/>
      <c r="IW246" s="104"/>
      <c r="IX246" s="104"/>
      <c r="IY246" s="104"/>
      <c r="IZ246" s="104"/>
      <c r="JA246" s="104"/>
    </row>
    <row r="247" spans="2:261" x14ac:dyDescent="0.2">
      <c r="B247" s="104"/>
      <c r="C247" s="104"/>
      <c r="D247" s="104"/>
      <c r="E247" s="104"/>
      <c r="F247" s="104"/>
      <c r="G247" s="104"/>
      <c r="H247" s="104"/>
      <c r="I247" s="104"/>
      <c r="J247" s="151"/>
      <c r="K247" s="104"/>
      <c r="L247" s="104"/>
      <c r="M247" s="104"/>
      <c r="N247" s="151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  <c r="DI247" s="104"/>
      <c r="DJ247" s="104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104"/>
      <c r="DV247" s="104"/>
      <c r="DW247" s="104"/>
      <c r="DX247" s="104"/>
      <c r="DY247" s="104"/>
      <c r="DZ247" s="104"/>
      <c r="EA247" s="104"/>
      <c r="EB247" s="104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4"/>
      <c r="EP247" s="104"/>
      <c r="EQ247" s="104"/>
      <c r="ER247" s="104"/>
      <c r="ES247" s="104"/>
      <c r="ET247" s="104"/>
      <c r="EU247" s="104"/>
      <c r="EV247" s="104"/>
      <c r="EW247" s="104"/>
      <c r="EX247" s="104"/>
      <c r="EY247" s="104"/>
      <c r="EZ247" s="104"/>
      <c r="FA247" s="104"/>
      <c r="FB247" s="104"/>
      <c r="FC247" s="104"/>
      <c r="FD247" s="104"/>
      <c r="FE247" s="104"/>
      <c r="FF247" s="104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4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  <c r="HO247" s="104"/>
      <c r="HP247" s="104"/>
      <c r="HQ247" s="104"/>
      <c r="HR247" s="104"/>
      <c r="HS247" s="104"/>
      <c r="HT247" s="104"/>
      <c r="HU247" s="104"/>
      <c r="HV247" s="104"/>
      <c r="HW247" s="104"/>
      <c r="HX247" s="104"/>
      <c r="HY247" s="104"/>
      <c r="HZ247" s="104"/>
      <c r="IA247" s="104"/>
      <c r="IB247" s="104"/>
      <c r="IC247" s="104"/>
      <c r="ID247" s="104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  <c r="IW247" s="104"/>
      <c r="IX247" s="104"/>
      <c r="IY247" s="104"/>
      <c r="IZ247" s="104"/>
      <c r="JA247" s="104"/>
    </row>
    <row r="248" spans="2:261" x14ac:dyDescent="0.2">
      <c r="B248" s="104"/>
      <c r="C248" s="104"/>
      <c r="D248" s="104"/>
      <c r="E248" s="104"/>
      <c r="F248" s="104"/>
      <c r="G248" s="104"/>
      <c r="H248" s="104"/>
      <c r="I248" s="104"/>
      <c r="J248" s="151"/>
      <c r="K248" s="104"/>
      <c r="L248" s="104"/>
      <c r="M248" s="104"/>
      <c r="N248" s="151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4"/>
      <c r="DB248" s="104"/>
      <c r="DC248" s="104"/>
      <c r="DD248" s="104"/>
      <c r="DE248" s="104"/>
      <c r="DF248" s="104"/>
      <c r="DG248" s="104"/>
      <c r="DH248" s="104"/>
      <c r="DI248" s="104"/>
      <c r="DJ248" s="104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104"/>
      <c r="DV248" s="104"/>
      <c r="DW248" s="104"/>
      <c r="DX248" s="104"/>
      <c r="DY248" s="104"/>
      <c r="DZ248" s="104"/>
      <c r="EA248" s="104"/>
      <c r="EB248" s="104"/>
      <c r="EC248" s="104"/>
      <c r="ED248" s="104"/>
      <c r="EE248" s="104"/>
      <c r="EF248" s="104"/>
      <c r="EG248" s="104"/>
      <c r="EH248" s="104"/>
      <c r="EI248" s="104"/>
      <c r="EJ248" s="104"/>
      <c r="EK248" s="104"/>
      <c r="EL248" s="104"/>
      <c r="EM248" s="104"/>
      <c r="EN248" s="104"/>
      <c r="EO248" s="104"/>
      <c r="EP248" s="104"/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4"/>
      <c r="FA248" s="104"/>
      <c r="FB248" s="104"/>
      <c r="FC248" s="104"/>
      <c r="FD248" s="104"/>
      <c r="FE248" s="104"/>
      <c r="FF248" s="104"/>
      <c r="FG248" s="104"/>
      <c r="FH248" s="104"/>
      <c r="FI248" s="104"/>
      <c r="FJ248" s="104"/>
      <c r="FK248" s="104"/>
      <c r="FL248" s="104"/>
      <c r="FM248" s="104"/>
      <c r="FN248" s="104"/>
      <c r="FO248" s="104"/>
      <c r="FP248" s="104"/>
      <c r="FQ248" s="104"/>
      <c r="FR248" s="104"/>
      <c r="FS248" s="104"/>
      <c r="FT248" s="104"/>
      <c r="FU248" s="104"/>
      <c r="FV248" s="104"/>
      <c r="FW248" s="104"/>
      <c r="FX248" s="104"/>
      <c r="FY248" s="104"/>
      <c r="FZ248" s="104"/>
      <c r="GA248" s="104"/>
      <c r="GB248" s="104"/>
      <c r="GC248" s="104"/>
      <c r="GD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  <c r="HA248" s="104"/>
      <c r="HB248" s="104"/>
      <c r="HC248" s="104"/>
      <c r="HD248" s="104"/>
      <c r="HE248" s="104"/>
      <c r="HF248" s="104"/>
      <c r="HG248" s="104"/>
      <c r="HH248" s="104"/>
      <c r="HI248" s="104"/>
      <c r="HJ248" s="104"/>
      <c r="HK248" s="104"/>
      <c r="HL248" s="104"/>
      <c r="HM248" s="104"/>
      <c r="HN248" s="104"/>
      <c r="HO248" s="104"/>
      <c r="HP248" s="104"/>
      <c r="HQ248" s="104"/>
      <c r="HR248" s="104"/>
      <c r="HS248" s="104"/>
      <c r="HT248" s="104"/>
      <c r="HU248" s="104"/>
      <c r="HV248" s="104"/>
      <c r="HW248" s="104"/>
      <c r="HX248" s="104"/>
      <c r="HY248" s="104"/>
      <c r="HZ248" s="104"/>
      <c r="IA248" s="104"/>
      <c r="IB248" s="104"/>
      <c r="IC248" s="104"/>
      <c r="ID248" s="104"/>
      <c r="IE248" s="104"/>
      <c r="IF248" s="104"/>
      <c r="IG248" s="104"/>
      <c r="IH248" s="104"/>
      <c r="II248" s="104"/>
      <c r="IJ248" s="104"/>
      <c r="IK248" s="104"/>
      <c r="IL248" s="104"/>
      <c r="IM248" s="104"/>
      <c r="IN248" s="104"/>
      <c r="IO248" s="104"/>
      <c r="IP248" s="104"/>
      <c r="IQ248" s="104"/>
      <c r="IR248" s="104"/>
      <c r="IS248" s="104"/>
      <c r="IT248" s="104"/>
      <c r="IU248" s="104"/>
      <c r="IV248" s="104"/>
      <c r="IW248" s="104"/>
      <c r="IX248" s="104"/>
      <c r="IY248" s="104"/>
      <c r="IZ248" s="104"/>
      <c r="JA248" s="104"/>
    </row>
    <row r="249" spans="2:261" x14ac:dyDescent="0.2">
      <c r="B249" s="104"/>
      <c r="C249" s="104"/>
      <c r="D249" s="104"/>
      <c r="E249" s="104"/>
      <c r="F249" s="104"/>
      <c r="G249" s="104"/>
      <c r="H249" s="104"/>
      <c r="I249" s="104"/>
      <c r="J249" s="151"/>
      <c r="K249" s="104"/>
      <c r="L249" s="104"/>
      <c r="M249" s="104"/>
      <c r="N249" s="151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4"/>
      <c r="DB249" s="104"/>
      <c r="DC249" s="104"/>
      <c r="DD249" s="104"/>
      <c r="DE249" s="104"/>
      <c r="DF249" s="104"/>
      <c r="DG249" s="104"/>
      <c r="DH249" s="104"/>
      <c r="DI249" s="104"/>
      <c r="DJ249" s="104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104"/>
      <c r="DV249" s="104"/>
      <c r="DW249" s="104"/>
      <c r="DX249" s="104"/>
      <c r="DY249" s="104"/>
      <c r="DZ249" s="104"/>
      <c r="EA249" s="104"/>
      <c r="EB249" s="104"/>
      <c r="EC249" s="104"/>
      <c r="ED249" s="104"/>
      <c r="EE249" s="104"/>
      <c r="EF249" s="104"/>
      <c r="EG249" s="104"/>
      <c r="EH249" s="104"/>
      <c r="EI249" s="104"/>
      <c r="EJ249" s="104"/>
      <c r="EK249" s="104"/>
      <c r="EL249" s="104"/>
      <c r="EM249" s="104"/>
      <c r="EN249" s="104"/>
      <c r="EO249" s="104"/>
      <c r="EP249" s="104"/>
      <c r="EQ249" s="104"/>
      <c r="ER249" s="104"/>
      <c r="ES249" s="104"/>
      <c r="ET249" s="104"/>
      <c r="EU249" s="104"/>
      <c r="EV249" s="104"/>
      <c r="EW249" s="104"/>
      <c r="EX249" s="104"/>
      <c r="EY249" s="104"/>
      <c r="EZ249" s="104"/>
      <c r="FA249" s="104"/>
      <c r="FB249" s="104"/>
      <c r="FC249" s="104"/>
      <c r="FD249" s="104"/>
      <c r="FE249" s="104"/>
      <c r="FF249" s="104"/>
      <c r="FG249" s="104"/>
      <c r="FH249" s="104"/>
      <c r="FI249" s="104"/>
      <c r="FJ249" s="104"/>
      <c r="FK249" s="104"/>
      <c r="FL249" s="104"/>
      <c r="FM249" s="104"/>
      <c r="FN249" s="104"/>
      <c r="FO249" s="104"/>
      <c r="FP249" s="104"/>
      <c r="FQ249" s="104"/>
      <c r="FR249" s="104"/>
      <c r="FS249" s="104"/>
      <c r="FT249" s="104"/>
      <c r="FU249" s="104"/>
      <c r="FV249" s="104"/>
      <c r="FW249" s="104"/>
      <c r="FX249" s="104"/>
      <c r="FY249" s="104"/>
      <c r="FZ249" s="104"/>
      <c r="GA249" s="104"/>
      <c r="GB249" s="104"/>
      <c r="GC249" s="104"/>
      <c r="GD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  <c r="HF249" s="104"/>
      <c r="HG249" s="104"/>
      <c r="HH249" s="104"/>
      <c r="HI249" s="104"/>
      <c r="HJ249" s="104"/>
      <c r="HK249" s="104"/>
      <c r="HL249" s="104"/>
      <c r="HM249" s="104"/>
      <c r="HN249" s="104"/>
      <c r="HO249" s="104"/>
      <c r="HP249" s="104"/>
      <c r="HQ249" s="104"/>
      <c r="HR249" s="104"/>
      <c r="HS249" s="104"/>
      <c r="HT249" s="104"/>
      <c r="HU249" s="104"/>
      <c r="HV249" s="104"/>
      <c r="HW249" s="104"/>
      <c r="HX249" s="104"/>
      <c r="HY249" s="104"/>
      <c r="HZ249" s="104"/>
      <c r="IA249" s="104"/>
      <c r="IB249" s="104"/>
      <c r="IC249" s="104"/>
      <c r="ID249" s="104"/>
      <c r="IE249" s="104"/>
      <c r="IF249" s="104"/>
      <c r="IG249" s="104"/>
      <c r="IH249" s="104"/>
      <c r="II249" s="104"/>
      <c r="IJ249" s="104"/>
      <c r="IK249" s="104"/>
      <c r="IL249" s="104"/>
      <c r="IM249" s="104"/>
      <c r="IN249" s="104"/>
      <c r="IO249" s="104"/>
      <c r="IP249" s="104"/>
      <c r="IQ249" s="104"/>
      <c r="IR249" s="104"/>
      <c r="IS249" s="104"/>
      <c r="IT249" s="104"/>
      <c r="IU249" s="104"/>
      <c r="IV249" s="104"/>
      <c r="IW249" s="104"/>
      <c r="IX249" s="104"/>
      <c r="IY249" s="104"/>
      <c r="IZ249" s="104"/>
      <c r="JA249" s="104"/>
    </row>
    <row r="250" spans="2:261" x14ac:dyDescent="0.2">
      <c r="B250" s="104"/>
      <c r="C250" s="104"/>
      <c r="D250" s="104"/>
      <c r="E250" s="104"/>
      <c r="F250" s="104"/>
      <c r="G250" s="104"/>
      <c r="H250" s="104"/>
      <c r="I250" s="104"/>
      <c r="J250" s="151"/>
      <c r="K250" s="104"/>
      <c r="L250" s="104"/>
      <c r="M250" s="104"/>
      <c r="N250" s="151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  <c r="DI250" s="104"/>
      <c r="DJ250" s="104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104"/>
      <c r="DV250" s="104"/>
      <c r="DW250" s="104"/>
      <c r="DX250" s="104"/>
      <c r="DY250" s="104"/>
      <c r="DZ250" s="104"/>
      <c r="EA250" s="104"/>
      <c r="EB250" s="104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4"/>
      <c r="EP250" s="104"/>
      <c r="EQ250" s="104"/>
      <c r="ER250" s="104"/>
      <c r="ES250" s="104"/>
      <c r="ET250" s="104"/>
      <c r="EU250" s="104"/>
      <c r="EV250" s="104"/>
      <c r="EW250" s="104"/>
      <c r="EX250" s="104"/>
      <c r="EY250" s="104"/>
      <c r="EZ250" s="104"/>
      <c r="FA250" s="104"/>
      <c r="FB250" s="104"/>
      <c r="FC250" s="104"/>
      <c r="FD250" s="104"/>
      <c r="FE250" s="104"/>
      <c r="FF250" s="104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4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  <c r="HO250" s="104"/>
      <c r="HP250" s="104"/>
      <c r="HQ250" s="104"/>
      <c r="HR250" s="104"/>
      <c r="HS250" s="104"/>
      <c r="HT250" s="104"/>
      <c r="HU250" s="104"/>
      <c r="HV250" s="104"/>
      <c r="HW250" s="104"/>
      <c r="HX250" s="104"/>
      <c r="HY250" s="104"/>
      <c r="HZ250" s="104"/>
      <c r="IA250" s="104"/>
      <c r="IB250" s="104"/>
      <c r="IC250" s="104"/>
      <c r="ID250" s="104"/>
      <c r="IE250" s="104"/>
      <c r="IF250" s="104"/>
      <c r="IG250" s="104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  <c r="IW250" s="104"/>
      <c r="IX250" s="104"/>
      <c r="IY250" s="104"/>
      <c r="IZ250" s="104"/>
      <c r="JA250" s="104"/>
    </row>
    <row r="251" spans="2:261" x14ac:dyDescent="0.2">
      <c r="B251" s="104"/>
      <c r="C251" s="104"/>
      <c r="D251" s="104"/>
      <c r="E251" s="104"/>
      <c r="F251" s="104"/>
      <c r="G251" s="104"/>
      <c r="H251" s="104"/>
      <c r="I251" s="104"/>
      <c r="J251" s="151"/>
      <c r="K251" s="104"/>
      <c r="L251" s="104"/>
      <c r="M251" s="104"/>
      <c r="N251" s="151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4"/>
      <c r="DB251" s="104"/>
      <c r="DC251" s="104"/>
      <c r="DD251" s="104"/>
      <c r="DE251" s="104"/>
      <c r="DF251" s="104"/>
      <c r="DG251" s="104"/>
      <c r="DH251" s="104"/>
      <c r="DI251" s="104"/>
      <c r="DJ251" s="104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104"/>
      <c r="DV251" s="104"/>
      <c r="DW251" s="104"/>
      <c r="DX251" s="104"/>
      <c r="DY251" s="104"/>
      <c r="DZ251" s="104"/>
      <c r="EA251" s="104"/>
      <c r="EB251" s="104"/>
      <c r="EC251" s="104"/>
      <c r="ED251" s="104"/>
      <c r="EE251" s="104"/>
      <c r="EF251" s="104"/>
      <c r="EG251" s="104"/>
      <c r="EH251" s="104"/>
      <c r="EI251" s="104"/>
      <c r="EJ251" s="104"/>
      <c r="EK251" s="104"/>
      <c r="EL251" s="104"/>
      <c r="EM251" s="104"/>
      <c r="EN251" s="104"/>
      <c r="EO251" s="104"/>
      <c r="EP251" s="104"/>
      <c r="EQ251" s="104"/>
      <c r="ER251" s="104"/>
      <c r="ES251" s="104"/>
      <c r="ET251" s="104"/>
      <c r="EU251" s="104"/>
      <c r="EV251" s="104"/>
      <c r="EW251" s="104"/>
      <c r="EX251" s="104"/>
      <c r="EY251" s="104"/>
      <c r="EZ251" s="104"/>
      <c r="FA251" s="104"/>
      <c r="FB251" s="104"/>
      <c r="FC251" s="104"/>
      <c r="FD251" s="104"/>
      <c r="FE251" s="104"/>
      <c r="FF251" s="104"/>
      <c r="FG251" s="104"/>
      <c r="FH251" s="104"/>
      <c r="FI251" s="104"/>
      <c r="FJ251" s="104"/>
      <c r="FK251" s="104"/>
      <c r="FL251" s="104"/>
      <c r="FM251" s="104"/>
      <c r="FN251" s="104"/>
      <c r="FO251" s="104"/>
      <c r="FP251" s="104"/>
      <c r="FQ251" s="104"/>
      <c r="FR251" s="104"/>
      <c r="FS251" s="104"/>
      <c r="FT251" s="104"/>
      <c r="FU251" s="104"/>
      <c r="FV251" s="104"/>
      <c r="FW251" s="104"/>
      <c r="FX251" s="104"/>
      <c r="FY251" s="104"/>
      <c r="FZ251" s="104"/>
      <c r="GA251" s="104"/>
      <c r="GB251" s="104"/>
      <c r="GC251" s="104"/>
      <c r="GD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  <c r="HA251" s="104"/>
      <c r="HB251" s="104"/>
      <c r="HC251" s="104"/>
      <c r="HD251" s="104"/>
      <c r="HE251" s="104"/>
      <c r="HF251" s="104"/>
      <c r="HG251" s="104"/>
      <c r="HH251" s="104"/>
      <c r="HI251" s="104"/>
      <c r="HJ251" s="104"/>
      <c r="HK251" s="104"/>
      <c r="HL251" s="104"/>
      <c r="HM251" s="104"/>
      <c r="HN251" s="104"/>
      <c r="HO251" s="104"/>
      <c r="HP251" s="104"/>
      <c r="HQ251" s="104"/>
      <c r="HR251" s="104"/>
      <c r="HS251" s="104"/>
      <c r="HT251" s="104"/>
      <c r="HU251" s="104"/>
      <c r="HV251" s="104"/>
      <c r="HW251" s="104"/>
      <c r="HX251" s="104"/>
      <c r="HY251" s="104"/>
      <c r="HZ251" s="104"/>
      <c r="IA251" s="104"/>
      <c r="IB251" s="104"/>
      <c r="IC251" s="104"/>
      <c r="ID251" s="104"/>
      <c r="IE251" s="104"/>
      <c r="IF251" s="104"/>
      <c r="IG251" s="104"/>
      <c r="IH251" s="104"/>
      <c r="II251" s="104"/>
      <c r="IJ251" s="104"/>
      <c r="IK251" s="104"/>
      <c r="IL251" s="104"/>
      <c r="IM251" s="104"/>
      <c r="IN251" s="104"/>
      <c r="IO251" s="104"/>
      <c r="IP251" s="104"/>
      <c r="IQ251" s="104"/>
      <c r="IR251" s="104"/>
      <c r="IS251" s="104"/>
      <c r="IT251" s="104"/>
      <c r="IU251" s="104"/>
      <c r="IV251" s="104"/>
      <c r="IW251" s="104"/>
      <c r="IX251" s="104"/>
      <c r="IY251" s="104"/>
      <c r="IZ251" s="104"/>
      <c r="JA251" s="104"/>
    </row>
    <row r="252" spans="2:261" x14ac:dyDescent="0.2">
      <c r="B252" s="104"/>
      <c r="C252" s="104"/>
      <c r="D252" s="104"/>
      <c r="E252" s="104"/>
      <c r="F252" s="104"/>
      <c r="G252" s="104"/>
      <c r="H252" s="104"/>
      <c r="I252" s="104"/>
      <c r="J252" s="151"/>
      <c r="K252" s="104"/>
      <c r="L252" s="104"/>
      <c r="M252" s="104"/>
      <c r="N252" s="151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4"/>
      <c r="DB252" s="104"/>
      <c r="DC252" s="104"/>
      <c r="DD252" s="104"/>
      <c r="DE252" s="104"/>
      <c r="DF252" s="104"/>
      <c r="DG252" s="104"/>
      <c r="DH252" s="104"/>
      <c r="DI252" s="104"/>
      <c r="DJ252" s="104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104"/>
      <c r="DV252" s="104"/>
      <c r="DW252" s="104"/>
      <c r="DX252" s="104"/>
      <c r="DY252" s="104"/>
      <c r="DZ252" s="104"/>
      <c r="EA252" s="104"/>
      <c r="EB252" s="104"/>
      <c r="EC252" s="104"/>
      <c r="ED252" s="104"/>
      <c r="EE252" s="104"/>
      <c r="EF252" s="104"/>
      <c r="EG252" s="104"/>
      <c r="EH252" s="104"/>
      <c r="EI252" s="104"/>
      <c r="EJ252" s="104"/>
      <c r="EK252" s="104"/>
      <c r="EL252" s="104"/>
      <c r="EM252" s="104"/>
      <c r="EN252" s="104"/>
      <c r="EO252" s="104"/>
      <c r="EP252" s="104"/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4"/>
      <c r="FA252" s="104"/>
      <c r="FB252" s="104"/>
      <c r="FC252" s="104"/>
      <c r="FD252" s="104"/>
      <c r="FE252" s="104"/>
      <c r="FF252" s="104"/>
      <c r="FG252" s="104"/>
      <c r="FH252" s="104"/>
      <c r="FI252" s="104"/>
      <c r="FJ252" s="104"/>
      <c r="FK252" s="104"/>
      <c r="FL252" s="104"/>
      <c r="FM252" s="104"/>
      <c r="FN252" s="104"/>
      <c r="FO252" s="104"/>
      <c r="FP252" s="104"/>
      <c r="FQ252" s="104"/>
      <c r="FR252" s="104"/>
      <c r="FS252" s="104"/>
      <c r="FT252" s="104"/>
      <c r="FU252" s="104"/>
      <c r="FV252" s="104"/>
      <c r="FW252" s="104"/>
      <c r="FX252" s="104"/>
      <c r="FY252" s="104"/>
      <c r="FZ252" s="104"/>
      <c r="GA252" s="104"/>
      <c r="GB252" s="104"/>
      <c r="GC252" s="104"/>
      <c r="GD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  <c r="HA252" s="104"/>
      <c r="HB252" s="104"/>
      <c r="HC252" s="104"/>
      <c r="HD252" s="104"/>
      <c r="HE252" s="104"/>
      <c r="HF252" s="104"/>
      <c r="HG252" s="104"/>
      <c r="HH252" s="104"/>
      <c r="HI252" s="104"/>
      <c r="HJ252" s="104"/>
      <c r="HK252" s="104"/>
      <c r="HL252" s="104"/>
      <c r="HM252" s="104"/>
      <c r="HN252" s="104"/>
      <c r="HO252" s="104"/>
      <c r="HP252" s="104"/>
      <c r="HQ252" s="104"/>
      <c r="HR252" s="104"/>
      <c r="HS252" s="104"/>
      <c r="HT252" s="104"/>
      <c r="HU252" s="104"/>
      <c r="HV252" s="104"/>
      <c r="HW252" s="104"/>
      <c r="HX252" s="104"/>
      <c r="HY252" s="104"/>
      <c r="HZ252" s="104"/>
      <c r="IA252" s="104"/>
      <c r="IB252" s="104"/>
      <c r="IC252" s="104"/>
      <c r="ID252" s="104"/>
      <c r="IE252" s="104"/>
      <c r="IF252" s="104"/>
      <c r="IG252" s="104"/>
      <c r="IH252" s="104"/>
      <c r="II252" s="104"/>
      <c r="IJ252" s="104"/>
      <c r="IK252" s="104"/>
      <c r="IL252" s="104"/>
      <c r="IM252" s="104"/>
      <c r="IN252" s="104"/>
      <c r="IO252" s="104"/>
      <c r="IP252" s="104"/>
      <c r="IQ252" s="104"/>
      <c r="IR252" s="104"/>
      <c r="IS252" s="104"/>
      <c r="IT252" s="104"/>
      <c r="IU252" s="104"/>
      <c r="IV252" s="104"/>
      <c r="IW252" s="104"/>
      <c r="IX252" s="104"/>
      <c r="IY252" s="104"/>
      <c r="IZ252" s="104"/>
      <c r="JA252" s="104"/>
    </row>
    <row r="253" spans="2:261" x14ac:dyDescent="0.2">
      <c r="B253" s="104"/>
      <c r="C253" s="104"/>
      <c r="D253" s="104"/>
      <c r="E253" s="104"/>
      <c r="F253" s="104"/>
      <c r="G253" s="104"/>
      <c r="H253" s="104"/>
      <c r="I253" s="104"/>
      <c r="J253" s="151"/>
      <c r="K253" s="104"/>
      <c r="L253" s="104"/>
      <c r="M253" s="104"/>
      <c r="N253" s="151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04"/>
      <c r="EZ253" s="104"/>
      <c r="FA253" s="104"/>
      <c r="FB253" s="104"/>
      <c r="FC253" s="104"/>
      <c r="FD253" s="104"/>
      <c r="FE253" s="104"/>
      <c r="FF253" s="104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  <c r="HO253" s="104"/>
      <c r="HP253" s="104"/>
      <c r="HQ253" s="104"/>
      <c r="HR253" s="104"/>
      <c r="HS253" s="104"/>
      <c r="HT253" s="104"/>
      <c r="HU253" s="104"/>
      <c r="HV253" s="104"/>
      <c r="HW253" s="104"/>
      <c r="HX253" s="104"/>
      <c r="HY253" s="104"/>
      <c r="HZ253" s="104"/>
      <c r="IA253" s="104"/>
      <c r="IB253" s="104"/>
      <c r="IC253" s="104"/>
      <c r="ID253" s="104"/>
      <c r="IE253" s="104"/>
      <c r="IF253" s="104"/>
      <c r="IG253" s="104"/>
      <c r="IH253" s="104"/>
      <c r="II253" s="104"/>
      <c r="IJ253" s="104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  <c r="IW253" s="104"/>
      <c r="IX253" s="104"/>
      <c r="IY253" s="104"/>
      <c r="IZ253" s="104"/>
      <c r="JA253" s="104"/>
    </row>
    <row r="254" spans="2:261" x14ac:dyDescent="0.2">
      <c r="B254" s="104"/>
      <c r="C254" s="104"/>
      <c r="D254" s="104"/>
      <c r="E254" s="104"/>
      <c r="F254" s="104"/>
      <c r="G254" s="104"/>
      <c r="H254" s="104"/>
      <c r="I254" s="104"/>
      <c r="J254" s="151"/>
      <c r="K254" s="104"/>
      <c r="L254" s="104"/>
      <c r="M254" s="104"/>
      <c r="N254" s="151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4"/>
      <c r="DB254" s="104"/>
      <c r="DC254" s="104"/>
      <c r="DD254" s="104"/>
      <c r="DE254" s="104"/>
      <c r="DF254" s="104"/>
      <c r="DG254" s="104"/>
      <c r="DH254" s="104"/>
      <c r="DI254" s="104"/>
      <c r="DJ254" s="104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104"/>
      <c r="DV254" s="104"/>
      <c r="DW254" s="104"/>
      <c r="DX254" s="104"/>
      <c r="DY254" s="104"/>
      <c r="DZ254" s="104"/>
      <c r="EA254" s="104"/>
      <c r="EB254" s="104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04"/>
      <c r="EZ254" s="104"/>
      <c r="FA254" s="104"/>
      <c r="FB254" s="104"/>
      <c r="FC254" s="104"/>
      <c r="FD254" s="104"/>
      <c r="FE254" s="104"/>
      <c r="FF254" s="104"/>
      <c r="FG254" s="104"/>
      <c r="FH254" s="104"/>
      <c r="FI254" s="104"/>
      <c r="FJ254" s="104"/>
      <c r="FK254" s="104"/>
      <c r="FL254" s="104"/>
      <c r="FM254" s="104"/>
      <c r="FN254" s="104"/>
      <c r="FO254" s="104"/>
      <c r="FP254" s="104"/>
      <c r="FQ254" s="104"/>
      <c r="FR254" s="104"/>
      <c r="FS254" s="104"/>
      <c r="FT254" s="104"/>
      <c r="FU254" s="104"/>
      <c r="FV254" s="104"/>
      <c r="FW254" s="104"/>
      <c r="FX254" s="104"/>
      <c r="FY254" s="104"/>
      <c r="FZ254" s="104"/>
      <c r="GA254" s="104"/>
      <c r="GB254" s="104"/>
      <c r="GC254" s="104"/>
      <c r="GD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  <c r="HA254" s="104"/>
      <c r="HB254" s="104"/>
      <c r="HC254" s="104"/>
      <c r="HD254" s="104"/>
      <c r="HE254" s="104"/>
      <c r="HF254" s="104"/>
      <c r="HG254" s="104"/>
      <c r="HH254" s="104"/>
      <c r="HI254" s="104"/>
      <c r="HJ254" s="104"/>
      <c r="HK254" s="104"/>
      <c r="HL254" s="104"/>
      <c r="HM254" s="104"/>
      <c r="HN254" s="104"/>
      <c r="HO254" s="104"/>
      <c r="HP254" s="104"/>
      <c r="HQ254" s="104"/>
      <c r="HR254" s="104"/>
      <c r="HS254" s="104"/>
      <c r="HT254" s="104"/>
      <c r="HU254" s="104"/>
      <c r="HV254" s="104"/>
      <c r="HW254" s="104"/>
      <c r="HX254" s="104"/>
      <c r="HY254" s="104"/>
      <c r="HZ254" s="104"/>
      <c r="IA254" s="104"/>
      <c r="IB254" s="104"/>
      <c r="IC254" s="104"/>
      <c r="ID254" s="104"/>
      <c r="IE254" s="104"/>
      <c r="IF254" s="104"/>
      <c r="IG254" s="104"/>
      <c r="IH254" s="104"/>
      <c r="II254" s="104"/>
      <c r="IJ254" s="104"/>
      <c r="IK254" s="104"/>
      <c r="IL254" s="104"/>
      <c r="IM254" s="104"/>
      <c r="IN254" s="104"/>
      <c r="IO254" s="104"/>
      <c r="IP254" s="104"/>
      <c r="IQ254" s="104"/>
      <c r="IR254" s="104"/>
      <c r="IS254" s="104"/>
      <c r="IT254" s="104"/>
      <c r="IU254" s="104"/>
      <c r="IV254" s="104"/>
      <c r="IW254" s="104"/>
      <c r="IX254" s="104"/>
      <c r="IY254" s="104"/>
      <c r="IZ254" s="104"/>
      <c r="JA254" s="104"/>
    </row>
    <row r="255" spans="2:261" x14ac:dyDescent="0.2">
      <c r="B255" s="104"/>
      <c r="C255" s="104"/>
      <c r="D255" s="104"/>
      <c r="E255" s="104"/>
      <c r="F255" s="104"/>
      <c r="G255" s="104"/>
      <c r="H255" s="104"/>
      <c r="I255" s="104"/>
      <c r="J255" s="151"/>
      <c r="K255" s="104"/>
      <c r="L255" s="104"/>
      <c r="M255" s="104"/>
      <c r="N255" s="151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4"/>
      <c r="DB255" s="104"/>
      <c r="DC255" s="104"/>
      <c r="DD255" s="104"/>
      <c r="DE255" s="104"/>
      <c r="DF255" s="104"/>
      <c r="DG255" s="104"/>
      <c r="DH255" s="104"/>
      <c r="DI255" s="104"/>
      <c r="DJ255" s="104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104"/>
      <c r="DV255" s="104"/>
      <c r="DW255" s="104"/>
      <c r="DX255" s="104"/>
      <c r="DY255" s="104"/>
      <c r="DZ255" s="104"/>
      <c r="EA255" s="104"/>
      <c r="EB255" s="104"/>
      <c r="EC255" s="104"/>
      <c r="ED255" s="104"/>
      <c r="EE255" s="104"/>
      <c r="EF255" s="104"/>
      <c r="EG255" s="104"/>
      <c r="EH255" s="104"/>
      <c r="EI255" s="104"/>
      <c r="EJ255" s="104"/>
      <c r="EK255" s="104"/>
      <c r="EL255" s="104"/>
      <c r="EM255" s="104"/>
      <c r="EN255" s="104"/>
      <c r="EO255" s="104"/>
      <c r="EP255" s="104"/>
      <c r="EQ255" s="104"/>
      <c r="ER255" s="104"/>
      <c r="ES255" s="104"/>
      <c r="ET255" s="104"/>
      <c r="EU255" s="104"/>
      <c r="EV255" s="104"/>
      <c r="EW255" s="104"/>
      <c r="EX255" s="104"/>
      <c r="EY255" s="104"/>
      <c r="EZ255" s="104"/>
      <c r="FA255" s="104"/>
      <c r="FB255" s="104"/>
      <c r="FC255" s="104"/>
      <c r="FD255" s="104"/>
      <c r="FE255" s="104"/>
      <c r="FF255" s="104"/>
      <c r="FG255" s="104"/>
      <c r="FH255" s="104"/>
      <c r="FI255" s="104"/>
      <c r="FJ255" s="104"/>
      <c r="FK255" s="104"/>
      <c r="FL255" s="104"/>
      <c r="FM255" s="104"/>
      <c r="FN255" s="104"/>
      <c r="FO255" s="104"/>
      <c r="FP255" s="104"/>
      <c r="FQ255" s="104"/>
      <c r="FR255" s="104"/>
      <c r="FS255" s="104"/>
      <c r="FT255" s="104"/>
      <c r="FU255" s="104"/>
      <c r="FV255" s="104"/>
      <c r="FW255" s="104"/>
      <c r="FX255" s="104"/>
      <c r="FY255" s="104"/>
      <c r="FZ255" s="104"/>
      <c r="GA255" s="104"/>
      <c r="GB255" s="104"/>
      <c r="GC255" s="104"/>
      <c r="GD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  <c r="HA255" s="104"/>
      <c r="HB255" s="104"/>
      <c r="HC255" s="104"/>
      <c r="HD255" s="104"/>
      <c r="HE255" s="104"/>
      <c r="HF255" s="104"/>
      <c r="HG255" s="104"/>
      <c r="HH255" s="104"/>
      <c r="HI255" s="104"/>
      <c r="HJ255" s="104"/>
      <c r="HK255" s="104"/>
      <c r="HL255" s="104"/>
      <c r="HM255" s="104"/>
      <c r="HN255" s="104"/>
      <c r="HO255" s="104"/>
      <c r="HP255" s="104"/>
      <c r="HQ255" s="104"/>
      <c r="HR255" s="104"/>
      <c r="HS255" s="104"/>
      <c r="HT255" s="104"/>
      <c r="HU255" s="104"/>
      <c r="HV255" s="104"/>
      <c r="HW255" s="104"/>
      <c r="HX255" s="104"/>
      <c r="HY255" s="104"/>
      <c r="HZ255" s="104"/>
      <c r="IA255" s="104"/>
      <c r="IB255" s="104"/>
      <c r="IC255" s="104"/>
      <c r="ID255" s="104"/>
      <c r="IE255" s="104"/>
      <c r="IF255" s="104"/>
      <c r="IG255" s="104"/>
      <c r="IH255" s="104"/>
      <c r="II255" s="104"/>
      <c r="IJ255" s="104"/>
      <c r="IK255" s="104"/>
      <c r="IL255" s="104"/>
      <c r="IM255" s="104"/>
      <c r="IN255" s="104"/>
      <c r="IO255" s="104"/>
      <c r="IP255" s="104"/>
      <c r="IQ255" s="104"/>
      <c r="IR255" s="104"/>
      <c r="IS255" s="104"/>
      <c r="IT255" s="104"/>
      <c r="IU255" s="104"/>
      <c r="IV255" s="104"/>
      <c r="IW255" s="104"/>
      <c r="IX255" s="104"/>
      <c r="IY255" s="104"/>
      <c r="IZ255" s="104"/>
      <c r="JA255" s="104"/>
    </row>
    <row r="256" spans="2:261" x14ac:dyDescent="0.2">
      <c r="B256" s="104"/>
      <c r="C256" s="104"/>
      <c r="D256" s="104"/>
      <c r="E256" s="104"/>
      <c r="F256" s="104"/>
      <c r="G256" s="104"/>
      <c r="H256" s="104"/>
      <c r="I256" s="104"/>
      <c r="J256" s="151"/>
      <c r="K256" s="104"/>
      <c r="L256" s="104"/>
      <c r="M256" s="104"/>
      <c r="N256" s="151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4"/>
      <c r="DB256" s="104"/>
      <c r="DC256" s="104"/>
      <c r="DD256" s="104"/>
      <c r="DE256" s="104"/>
      <c r="DF256" s="104"/>
      <c r="DG256" s="104"/>
      <c r="DH256" s="104"/>
      <c r="DI256" s="104"/>
      <c r="DJ256" s="104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104"/>
      <c r="DV256" s="104"/>
      <c r="DW256" s="104"/>
      <c r="DX256" s="104"/>
      <c r="DY256" s="104"/>
      <c r="DZ256" s="104"/>
      <c r="EA256" s="104"/>
      <c r="EB256" s="104"/>
      <c r="EC256" s="104"/>
      <c r="ED256" s="104"/>
      <c r="EE256" s="104"/>
      <c r="EF256" s="104"/>
      <c r="EG256" s="104"/>
      <c r="EH256" s="104"/>
      <c r="EI256" s="104"/>
      <c r="EJ256" s="104"/>
      <c r="EK256" s="104"/>
      <c r="EL256" s="104"/>
      <c r="EM256" s="104"/>
      <c r="EN256" s="104"/>
      <c r="EO256" s="104"/>
      <c r="EP256" s="104"/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4"/>
      <c r="FA256" s="104"/>
      <c r="FB256" s="104"/>
      <c r="FC256" s="104"/>
      <c r="FD256" s="104"/>
      <c r="FE256" s="104"/>
      <c r="FF256" s="104"/>
      <c r="FG256" s="104"/>
      <c r="FH256" s="104"/>
      <c r="FI256" s="104"/>
      <c r="FJ256" s="104"/>
      <c r="FK256" s="104"/>
      <c r="FL256" s="104"/>
      <c r="FM256" s="104"/>
      <c r="FN256" s="104"/>
      <c r="FO256" s="104"/>
      <c r="FP256" s="104"/>
      <c r="FQ256" s="104"/>
      <c r="FR256" s="104"/>
      <c r="FS256" s="104"/>
      <c r="FT256" s="104"/>
      <c r="FU256" s="104"/>
      <c r="FV256" s="104"/>
      <c r="FW256" s="104"/>
      <c r="FX256" s="104"/>
      <c r="FY256" s="104"/>
      <c r="FZ256" s="104"/>
      <c r="GA256" s="104"/>
      <c r="GB256" s="104"/>
      <c r="GC256" s="104"/>
      <c r="GD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  <c r="HA256" s="104"/>
      <c r="HB256" s="104"/>
      <c r="HC256" s="104"/>
      <c r="HD256" s="104"/>
      <c r="HE256" s="104"/>
      <c r="HF256" s="104"/>
      <c r="HG256" s="104"/>
      <c r="HH256" s="104"/>
      <c r="HI256" s="104"/>
      <c r="HJ256" s="104"/>
      <c r="HK256" s="104"/>
      <c r="HL256" s="104"/>
      <c r="HM256" s="104"/>
      <c r="HN256" s="104"/>
      <c r="HO256" s="104"/>
      <c r="HP256" s="104"/>
      <c r="HQ256" s="104"/>
      <c r="HR256" s="104"/>
      <c r="HS256" s="104"/>
      <c r="HT256" s="104"/>
      <c r="HU256" s="104"/>
      <c r="HV256" s="104"/>
      <c r="HW256" s="104"/>
      <c r="HX256" s="104"/>
      <c r="HY256" s="104"/>
      <c r="HZ256" s="104"/>
      <c r="IA256" s="104"/>
      <c r="IB256" s="104"/>
      <c r="IC256" s="104"/>
      <c r="ID256" s="104"/>
      <c r="IE256" s="104"/>
      <c r="IF256" s="104"/>
      <c r="IG256" s="104"/>
      <c r="IH256" s="104"/>
      <c r="II256" s="104"/>
      <c r="IJ256" s="104"/>
      <c r="IK256" s="104"/>
      <c r="IL256" s="104"/>
      <c r="IM256" s="104"/>
      <c r="IN256" s="104"/>
      <c r="IO256" s="104"/>
      <c r="IP256" s="104"/>
      <c r="IQ256" s="104"/>
      <c r="IR256" s="104"/>
      <c r="IS256" s="104"/>
      <c r="IT256" s="104"/>
      <c r="IU256" s="104"/>
      <c r="IV256" s="104"/>
      <c r="IW256" s="104"/>
      <c r="IX256" s="104"/>
      <c r="IY256" s="104"/>
      <c r="IZ256" s="104"/>
      <c r="JA256" s="104"/>
    </row>
    <row r="257" spans="2:261" x14ac:dyDescent="0.2">
      <c r="B257" s="104"/>
      <c r="C257" s="104"/>
      <c r="D257" s="104"/>
      <c r="E257" s="104"/>
      <c r="F257" s="104"/>
      <c r="G257" s="104"/>
      <c r="H257" s="104"/>
      <c r="I257" s="104"/>
      <c r="J257" s="151"/>
      <c r="K257" s="104"/>
      <c r="L257" s="104"/>
      <c r="M257" s="104"/>
      <c r="N257" s="151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4"/>
      <c r="DB257" s="104"/>
      <c r="DC257" s="104"/>
      <c r="DD257" s="104"/>
      <c r="DE257" s="104"/>
      <c r="DF257" s="104"/>
      <c r="DG257" s="104"/>
      <c r="DH257" s="104"/>
      <c r="DI257" s="104"/>
      <c r="DJ257" s="104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104"/>
      <c r="DV257" s="104"/>
      <c r="DW257" s="104"/>
      <c r="DX257" s="104"/>
      <c r="DY257" s="104"/>
      <c r="DZ257" s="104"/>
      <c r="EA257" s="104"/>
      <c r="EB257" s="104"/>
      <c r="EC257" s="104"/>
      <c r="ED257" s="104"/>
      <c r="EE257" s="104"/>
      <c r="EF257" s="104"/>
      <c r="EG257" s="104"/>
      <c r="EH257" s="104"/>
      <c r="EI257" s="104"/>
      <c r="EJ257" s="104"/>
      <c r="EK257" s="104"/>
      <c r="EL257" s="104"/>
      <c r="EM257" s="104"/>
      <c r="EN257" s="104"/>
      <c r="EO257" s="104"/>
      <c r="EP257" s="104"/>
      <c r="EQ257" s="104"/>
      <c r="ER257" s="104"/>
      <c r="ES257" s="104"/>
      <c r="ET257" s="104"/>
      <c r="EU257" s="104"/>
      <c r="EV257" s="104"/>
      <c r="EW257" s="104"/>
      <c r="EX257" s="104"/>
      <c r="EY257" s="104"/>
      <c r="EZ257" s="104"/>
      <c r="FA257" s="104"/>
      <c r="FB257" s="104"/>
      <c r="FC257" s="104"/>
      <c r="FD257" s="104"/>
      <c r="FE257" s="104"/>
      <c r="FF257" s="104"/>
      <c r="FG257" s="104"/>
      <c r="FH257" s="104"/>
      <c r="FI257" s="104"/>
      <c r="FJ257" s="104"/>
      <c r="FK257" s="104"/>
      <c r="FL257" s="104"/>
      <c r="FM257" s="104"/>
      <c r="FN257" s="104"/>
      <c r="FO257" s="104"/>
      <c r="FP257" s="104"/>
      <c r="FQ257" s="104"/>
      <c r="FR257" s="104"/>
      <c r="FS257" s="104"/>
      <c r="FT257" s="104"/>
      <c r="FU257" s="104"/>
      <c r="FV257" s="104"/>
      <c r="FW257" s="104"/>
      <c r="FX257" s="104"/>
      <c r="FY257" s="104"/>
      <c r="FZ257" s="104"/>
      <c r="GA257" s="104"/>
      <c r="GB257" s="104"/>
      <c r="GC257" s="104"/>
      <c r="GD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  <c r="HA257" s="104"/>
      <c r="HB257" s="104"/>
      <c r="HC257" s="104"/>
      <c r="HD257" s="104"/>
      <c r="HE257" s="104"/>
      <c r="HF257" s="104"/>
      <c r="HG257" s="104"/>
      <c r="HH257" s="104"/>
      <c r="HI257" s="104"/>
      <c r="HJ257" s="104"/>
      <c r="HK257" s="104"/>
      <c r="HL257" s="104"/>
      <c r="HM257" s="104"/>
      <c r="HN257" s="104"/>
      <c r="HO257" s="104"/>
      <c r="HP257" s="104"/>
      <c r="HQ257" s="104"/>
      <c r="HR257" s="104"/>
      <c r="HS257" s="104"/>
      <c r="HT257" s="104"/>
      <c r="HU257" s="104"/>
      <c r="HV257" s="104"/>
      <c r="HW257" s="104"/>
      <c r="HX257" s="104"/>
      <c r="HY257" s="104"/>
      <c r="HZ257" s="104"/>
      <c r="IA257" s="104"/>
      <c r="IB257" s="104"/>
      <c r="IC257" s="104"/>
      <c r="ID257" s="104"/>
      <c r="IE257" s="104"/>
      <c r="IF257" s="104"/>
      <c r="IG257" s="104"/>
      <c r="IH257" s="104"/>
      <c r="II257" s="104"/>
      <c r="IJ257" s="104"/>
      <c r="IK257" s="104"/>
      <c r="IL257" s="104"/>
      <c r="IM257" s="104"/>
      <c r="IN257" s="104"/>
      <c r="IO257" s="104"/>
      <c r="IP257" s="104"/>
      <c r="IQ257" s="104"/>
      <c r="IR257" s="104"/>
      <c r="IS257" s="104"/>
      <c r="IT257" s="104"/>
      <c r="IU257" s="104"/>
      <c r="IV257" s="104"/>
      <c r="IW257" s="104"/>
      <c r="IX257" s="104"/>
      <c r="IY257" s="104"/>
      <c r="IZ257" s="104"/>
      <c r="JA257" s="104"/>
    </row>
    <row r="258" spans="2:261" x14ac:dyDescent="0.2">
      <c r="B258" s="104"/>
      <c r="C258" s="104"/>
      <c r="D258" s="104"/>
      <c r="E258" s="104"/>
      <c r="F258" s="104"/>
      <c r="G258" s="104"/>
      <c r="H258" s="104"/>
      <c r="I258" s="104"/>
      <c r="J258" s="151"/>
      <c r="K258" s="104"/>
      <c r="L258" s="104"/>
      <c r="M258" s="104"/>
      <c r="N258" s="151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4"/>
      <c r="DB258" s="104"/>
      <c r="DC258" s="104"/>
      <c r="DD258" s="104"/>
      <c r="DE258" s="104"/>
      <c r="DF258" s="104"/>
      <c r="DG258" s="104"/>
      <c r="DH258" s="104"/>
      <c r="DI258" s="104"/>
      <c r="DJ258" s="104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104"/>
      <c r="DV258" s="104"/>
      <c r="DW258" s="104"/>
      <c r="DX258" s="104"/>
      <c r="DY258" s="104"/>
      <c r="DZ258" s="104"/>
      <c r="EA258" s="104"/>
      <c r="EB258" s="104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04"/>
      <c r="EZ258" s="104"/>
      <c r="FA258" s="104"/>
      <c r="FB258" s="104"/>
      <c r="FC258" s="104"/>
      <c r="FD258" s="104"/>
      <c r="FE258" s="104"/>
      <c r="FF258" s="104"/>
      <c r="FG258" s="104"/>
      <c r="FH258" s="104"/>
      <c r="FI258" s="104"/>
      <c r="FJ258" s="104"/>
      <c r="FK258" s="104"/>
      <c r="FL258" s="104"/>
      <c r="FM258" s="104"/>
      <c r="FN258" s="104"/>
      <c r="FO258" s="104"/>
      <c r="FP258" s="104"/>
      <c r="FQ258" s="104"/>
      <c r="FR258" s="104"/>
      <c r="FS258" s="104"/>
      <c r="FT258" s="104"/>
      <c r="FU258" s="104"/>
      <c r="FV258" s="104"/>
      <c r="FW258" s="104"/>
      <c r="FX258" s="104"/>
      <c r="FY258" s="104"/>
      <c r="FZ258" s="104"/>
      <c r="GA258" s="104"/>
      <c r="GB258" s="104"/>
      <c r="GC258" s="104"/>
      <c r="GD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  <c r="HL258" s="104"/>
      <c r="HM258" s="104"/>
      <c r="HN258" s="104"/>
      <c r="HO258" s="104"/>
      <c r="HP258" s="104"/>
      <c r="HQ258" s="104"/>
      <c r="HR258" s="104"/>
      <c r="HS258" s="104"/>
      <c r="HT258" s="104"/>
      <c r="HU258" s="104"/>
      <c r="HV258" s="104"/>
      <c r="HW258" s="104"/>
      <c r="HX258" s="104"/>
      <c r="HY258" s="104"/>
      <c r="HZ258" s="104"/>
      <c r="IA258" s="104"/>
      <c r="IB258" s="104"/>
      <c r="IC258" s="104"/>
      <c r="ID258" s="104"/>
      <c r="IE258" s="104"/>
      <c r="IF258" s="104"/>
      <c r="IG258" s="104"/>
      <c r="IH258" s="104"/>
      <c r="II258" s="104"/>
      <c r="IJ258" s="104"/>
      <c r="IK258" s="104"/>
      <c r="IL258" s="104"/>
      <c r="IM258" s="104"/>
      <c r="IN258" s="104"/>
      <c r="IO258" s="104"/>
      <c r="IP258" s="104"/>
      <c r="IQ258" s="104"/>
      <c r="IR258" s="104"/>
      <c r="IS258" s="104"/>
      <c r="IT258" s="104"/>
      <c r="IU258" s="104"/>
      <c r="IV258" s="104"/>
      <c r="IW258" s="104"/>
      <c r="IX258" s="104"/>
      <c r="IY258" s="104"/>
      <c r="IZ258" s="104"/>
      <c r="JA258" s="104"/>
    </row>
    <row r="259" spans="2:261" x14ac:dyDescent="0.2">
      <c r="B259" s="104"/>
      <c r="C259" s="104"/>
      <c r="D259" s="104"/>
      <c r="E259" s="104"/>
      <c r="F259" s="104"/>
      <c r="G259" s="104"/>
      <c r="H259" s="104"/>
      <c r="I259" s="104"/>
      <c r="J259" s="151"/>
      <c r="K259" s="104"/>
      <c r="L259" s="104"/>
      <c r="M259" s="104"/>
      <c r="N259" s="151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4"/>
      <c r="DB259" s="104"/>
      <c r="DC259" s="104"/>
      <c r="DD259" s="104"/>
      <c r="DE259" s="104"/>
      <c r="DF259" s="104"/>
      <c r="DG259" s="104"/>
      <c r="DH259" s="104"/>
      <c r="DI259" s="104"/>
      <c r="DJ259" s="104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104"/>
      <c r="DV259" s="104"/>
      <c r="DW259" s="104"/>
      <c r="DX259" s="104"/>
      <c r="DY259" s="104"/>
      <c r="DZ259" s="104"/>
      <c r="EA259" s="104"/>
      <c r="EB259" s="104"/>
      <c r="EC259" s="104"/>
      <c r="ED259" s="104"/>
      <c r="EE259" s="104"/>
      <c r="EF259" s="104"/>
      <c r="EG259" s="104"/>
      <c r="EH259" s="104"/>
      <c r="EI259" s="104"/>
      <c r="EJ259" s="104"/>
      <c r="EK259" s="104"/>
      <c r="EL259" s="104"/>
      <c r="EM259" s="104"/>
      <c r="EN259" s="104"/>
      <c r="EO259" s="104"/>
      <c r="EP259" s="104"/>
      <c r="EQ259" s="104"/>
      <c r="ER259" s="104"/>
      <c r="ES259" s="104"/>
      <c r="ET259" s="104"/>
      <c r="EU259" s="104"/>
      <c r="EV259" s="104"/>
      <c r="EW259" s="104"/>
      <c r="EX259" s="104"/>
      <c r="EY259" s="104"/>
      <c r="EZ259" s="104"/>
      <c r="FA259" s="104"/>
      <c r="FB259" s="104"/>
      <c r="FC259" s="104"/>
      <c r="FD259" s="104"/>
      <c r="FE259" s="104"/>
      <c r="FF259" s="104"/>
      <c r="FG259" s="104"/>
      <c r="FH259" s="104"/>
      <c r="FI259" s="104"/>
      <c r="FJ259" s="104"/>
      <c r="FK259" s="104"/>
      <c r="FL259" s="104"/>
      <c r="FM259" s="104"/>
      <c r="FN259" s="104"/>
      <c r="FO259" s="104"/>
      <c r="FP259" s="104"/>
      <c r="FQ259" s="104"/>
      <c r="FR259" s="104"/>
      <c r="FS259" s="104"/>
      <c r="FT259" s="104"/>
      <c r="FU259" s="104"/>
      <c r="FV259" s="104"/>
      <c r="FW259" s="104"/>
      <c r="FX259" s="104"/>
      <c r="FY259" s="104"/>
      <c r="FZ259" s="104"/>
      <c r="GA259" s="104"/>
      <c r="GB259" s="104"/>
      <c r="GC259" s="104"/>
      <c r="GD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  <c r="HA259" s="104"/>
      <c r="HB259" s="104"/>
      <c r="HC259" s="104"/>
      <c r="HD259" s="104"/>
      <c r="HE259" s="104"/>
      <c r="HF259" s="104"/>
      <c r="HG259" s="104"/>
      <c r="HH259" s="104"/>
      <c r="HI259" s="104"/>
      <c r="HJ259" s="104"/>
      <c r="HK259" s="104"/>
      <c r="HL259" s="104"/>
      <c r="HM259" s="104"/>
      <c r="HN259" s="104"/>
      <c r="HO259" s="104"/>
      <c r="HP259" s="104"/>
      <c r="HQ259" s="104"/>
      <c r="HR259" s="104"/>
      <c r="HS259" s="104"/>
      <c r="HT259" s="104"/>
      <c r="HU259" s="104"/>
      <c r="HV259" s="104"/>
      <c r="HW259" s="104"/>
      <c r="HX259" s="104"/>
      <c r="HY259" s="104"/>
      <c r="HZ259" s="104"/>
      <c r="IA259" s="104"/>
      <c r="IB259" s="104"/>
      <c r="IC259" s="104"/>
      <c r="ID259" s="104"/>
      <c r="IE259" s="104"/>
      <c r="IF259" s="104"/>
      <c r="IG259" s="104"/>
      <c r="IH259" s="104"/>
      <c r="II259" s="104"/>
      <c r="IJ259" s="104"/>
      <c r="IK259" s="104"/>
      <c r="IL259" s="104"/>
      <c r="IM259" s="104"/>
      <c r="IN259" s="104"/>
      <c r="IO259" s="104"/>
      <c r="IP259" s="104"/>
      <c r="IQ259" s="104"/>
      <c r="IR259" s="104"/>
      <c r="IS259" s="104"/>
      <c r="IT259" s="104"/>
      <c r="IU259" s="104"/>
      <c r="IV259" s="104"/>
      <c r="IW259" s="104"/>
      <c r="IX259" s="104"/>
      <c r="IY259" s="104"/>
      <c r="IZ259" s="104"/>
      <c r="JA259" s="104"/>
    </row>
    <row r="260" spans="2:261" x14ac:dyDescent="0.2">
      <c r="B260" s="104"/>
      <c r="C260" s="104"/>
      <c r="D260" s="104"/>
      <c r="E260" s="104"/>
      <c r="F260" s="104"/>
      <c r="G260" s="104"/>
      <c r="H260" s="104"/>
      <c r="I260" s="104"/>
      <c r="J260" s="151"/>
      <c r="K260" s="104"/>
      <c r="L260" s="104"/>
      <c r="M260" s="104"/>
      <c r="N260" s="151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4"/>
      <c r="DB260" s="104"/>
      <c r="DC260" s="104"/>
      <c r="DD260" s="104"/>
      <c r="DE260" s="104"/>
      <c r="DF260" s="104"/>
      <c r="DG260" s="104"/>
      <c r="DH260" s="104"/>
      <c r="DI260" s="104"/>
      <c r="DJ260" s="104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104"/>
      <c r="DV260" s="104"/>
      <c r="DW260" s="104"/>
      <c r="DX260" s="104"/>
      <c r="DY260" s="104"/>
      <c r="DZ260" s="104"/>
      <c r="EA260" s="104"/>
      <c r="EB260" s="104"/>
      <c r="EC260" s="104"/>
      <c r="ED260" s="104"/>
      <c r="EE260" s="104"/>
      <c r="EF260" s="104"/>
      <c r="EG260" s="104"/>
      <c r="EH260" s="104"/>
      <c r="EI260" s="104"/>
      <c r="EJ260" s="104"/>
      <c r="EK260" s="104"/>
      <c r="EL260" s="104"/>
      <c r="EM260" s="104"/>
      <c r="EN260" s="104"/>
      <c r="EO260" s="104"/>
      <c r="EP260" s="104"/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4"/>
      <c r="FA260" s="104"/>
      <c r="FB260" s="104"/>
      <c r="FC260" s="104"/>
      <c r="FD260" s="104"/>
      <c r="FE260" s="104"/>
      <c r="FF260" s="104"/>
      <c r="FG260" s="104"/>
      <c r="FH260" s="104"/>
      <c r="FI260" s="104"/>
      <c r="FJ260" s="104"/>
      <c r="FK260" s="104"/>
      <c r="FL260" s="104"/>
      <c r="FM260" s="104"/>
      <c r="FN260" s="104"/>
      <c r="FO260" s="104"/>
      <c r="FP260" s="104"/>
      <c r="FQ260" s="104"/>
      <c r="FR260" s="104"/>
      <c r="FS260" s="104"/>
      <c r="FT260" s="104"/>
      <c r="FU260" s="104"/>
      <c r="FV260" s="104"/>
      <c r="FW260" s="104"/>
      <c r="FX260" s="104"/>
      <c r="FY260" s="104"/>
      <c r="FZ260" s="104"/>
      <c r="GA260" s="104"/>
      <c r="GB260" s="104"/>
      <c r="GC260" s="104"/>
      <c r="GD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  <c r="HA260" s="104"/>
      <c r="HB260" s="104"/>
      <c r="HC260" s="104"/>
      <c r="HD260" s="104"/>
      <c r="HE260" s="104"/>
      <c r="HF260" s="104"/>
      <c r="HG260" s="104"/>
      <c r="HH260" s="104"/>
      <c r="HI260" s="104"/>
      <c r="HJ260" s="104"/>
      <c r="HK260" s="104"/>
      <c r="HL260" s="104"/>
      <c r="HM260" s="104"/>
      <c r="HN260" s="104"/>
      <c r="HO260" s="104"/>
      <c r="HP260" s="104"/>
      <c r="HQ260" s="104"/>
      <c r="HR260" s="104"/>
      <c r="HS260" s="104"/>
      <c r="HT260" s="104"/>
      <c r="HU260" s="104"/>
      <c r="HV260" s="104"/>
      <c r="HW260" s="104"/>
      <c r="HX260" s="104"/>
      <c r="HY260" s="104"/>
      <c r="HZ260" s="104"/>
      <c r="IA260" s="104"/>
      <c r="IB260" s="104"/>
      <c r="IC260" s="104"/>
      <c r="ID260" s="104"/>
      <c r="IE260" s="104"/>
      <c r="IF260" s="104"/>
      <c r="IG260" s="104"/>
      <c r="IH260" s="104"/>
      <c r="II260" s="104"/>
      <c r="IJ260" s="104"/>
      <c r="IK260" s="104"/>
      <c r="IL260" s="104"/>
      <c r="IM260" s="104"/>
      <c r="IN260" s="104"/>
      <c r="IO260" s="104"/>
      <c r="IP260" s="104"/>
      <c r="IQ260" s="104"/>
      <c r="IR260" s="104"/>
      <c r="IS260" s="104"/>
      <c r="IT260" s="104"/>
      <c r="IU260" s="104"/>
      <c r="IV260" s="104"/>
      <c r="IW260" s="104"/>
      <c r="IX260" s="104"/>
      <c r="IY260" s="104"/>
      <c r="IZ260" s="104"/>
      <c r="JA260" s="104"/>
    </row>
    <row r="261" spans="2:261" x14ac:dyDescent="0.2">
      <c r="B261" s="104"/>
      <c r="C261" s="104"/>
      <c r="D261" s="104"/>
      <c r="E261" s="104"/>
      <c r="F261" s="104"/>
      <c r="G261" s="104"/>
      <c r="H261" s="104"/>
      <c r="I261" s="104"/>
      <c r="J261" s="151"/>
      <c r="K261" s="104"/>
      <c r="L261" s="104"/>
      <c r="M261" s="104"/>
      <c r="N261" s="151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4"/>
      <c r="DB261" s="104"/>
      <c r="DC261" s="104"/>
      <c r="DD261" s="104"/>
      <c r="DE261" s="104"/>
      <c r="DF261" s="104"/>
      <c r="DG261" s="104"/>
      <c r="DH261" s="104"/>
      <c r="DI261" s="104"/>
      <c r="DJ261" s="104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104"/>
      <c r="DV261" s="104"/>
      <c r="DW261" s="104"/>
      <c r="DX261" s="104"/>
      <c r="DY261" s="104"/>
      <c r="DZ261" s="104"/>
      <c r="EA261" s="104"/>
      <c r="EB261" s="104"/>
      <c r="EC261" s="104"/>
      <c r="ED261" s="104"/>
      <c r="EE261" s="104"/>
      <c r="EF261" s="104"/>
      <c r="EG261" s="104"/>
      <c r="EH261" s="104"/>
      <c r="EI261" s="104"/>
      <c r="EJ261" s="104"/>
      <c r="EK261" s="104"/>
      <c r="EL261" s="104"/>
      <c r="EM261" s="104"/>
      <c r="EN261" s="104"/>
      <c r="EO261" s="104"/>
      <c r="EP261" s="104"/>
      <c r="EQ261" s="104"/>
      <c r="ER261" s="104"/>
      <c r="ES261" s="104"/>
      <c r="ET261" s="104"/>
      <c r="EU261" s="104"/>
      <c r="EV261" s="104"/>
      <c r="EW261" s="104"/>
      <c r="EX261" s="104"/>
      <c r="EY261" s="104"/>
      <c r="EZ261" s="104"/>
      <c r="FA261" s="104"/>
      <c r="FB261" s="104"/>
      <c r="FC261" s="104"/>
      <c r="FD261" s="104"/>
      <c r="FE261" s="104"/>
      <c r="FF261" s="104"/>
      <c r="FG261" s="104"/>
      <c r="FH261" s="104"/>
      <c r="FI261" s="104"/>
      <c r="FJ261" s="104"/>
      <c r="FK261" s="104"/>
      <c r="FL261" s="104"/>
      <c r="FM261" s="104"/>
      <c r="FN261" s="104"/>
      <c r="FO261" s="104"/>
      <c r="FP261" s="104"/>
      <c r="FQ261" s="104"/>
      <c r="FR261" s="104"/>
      <c r="FS261" s="104"/>
      <c r="FT261" s="104"/>
      <c r="FU261" s="104"/>
      <c r="FV261" s="104"/>
      <c r="FW261" s="104"/>
      <c r="FX261" s="104"/>
      <c r="FY261" s="104"/>
      <c r="FZ261" s="104"/>
      <c r="GA261" s="104"/>
      <c r="GB261" s="104"/>
      <c r="GC261" s="104"/>
      <c r="GD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  <c r="HA261" s="104"/>
      <c r="HB261" s="104"/>
      <c r="HC261" s="104"/>
      <c r="HD261" s="104"/>
      <c r="HE261" s="104"/>
      <c r="HF261" s="104"/>
      <c r="HG261" s="104"/>
      <c r="HH261" s="104"/>
      <c r="HI261" s="104"/>
      <c r="HJ261" s="104"/>
      <c r="HK261" s="104"/>
      <c r="HL261" s="104"/>
      <c r="HM261" s="104"/>
      <c r="HN261" s="104"/>
      <c r="HO261" s="104"/>
      <c r="HP261" s="104"/>
      <c r="HQ261" s="104"/>
      <c r="HR261" s="104"/>
      <c r="HS261" s="104"/>
      <c r="HT261" s="104"/>
      <c r="HU261" s="104"/>
      <c r="HV261" s="104"/>
      <c r="HW261" s="104"/>
      <c r="HX261" s="104"/>
      <c r="HY261" s="104"/>
      <c r="HZ261" s="104"/>
      <c r="IA261" s="104"/>
      <c r="IB261" s="104"/>
      <c r="IC261" s="104"/>
      <c r="ID261" s="104"/>
      <c r="IE261" s="104"/>
      <c r="IF261" s="104"/>
      <c r="IG261" s="104"/>
      <c r="IH261" s="104"/>
      <c r="II261" s="104"/>
      <c r="IJ261" s="104"/>
      <c r="IK261" s="104"/>
      <c r="IL261" s="104"/>
      <c r="IM261" s="104"/>
      <c r="IN261" s="104"/>
      <c r="IO261" s="104"/>
      <c r="IP261" s="104"/>
      <c r="IQ261" s="104"/>
      <c r="IR261" s="104"/>
      <c r="IS261" s="104"/>
      <c r="IT261" s="104"/>
      <c r="IU261" s="104"/>
      <c r="IV261" s="104"/>
      <c r="IW261" s="104"/>
      <c r="IX261" s="104"/>
      <c r="IY261" s="104"/>
      <c r="IZ261" s="104"/>
      <c r="JA261" s="104"/>
    </row>
    <row r="262" spans="2:261" x14ac:dyDescent="0.2">
      <c r="B262" s="104"/>
      <c r="C262" s="104"/>
      <c r="D262" s="104"/>
      <c r="E262" s="104"/>
      <c r="F262" s="104"/>
      <c r="G262" s="104"/>
      <c r="H262" s="104"/>
      <c r="I262" s="104"/>
      <c r="J262" s="151"/>
      <c r="K262" s="104"/>
      <c r="L262" s="104"/>
      <c r="M262" s="104"/>
      <c r="N262" s="151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4"/>
      <c r="DB262" s="104"/>
      <c r="DC262" s="104"/>
      <c r="DD262" s="104"/>
      <c r="DE262" s="104"/>
      <c r="DF262" s="104"/>
      <c r="DG262" s="104"/>
      <c r="DH262" s="104"/>
      <c r="DI262" s="104"/>
      <c r="DJ262" s="104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104"/>
      <c r="DV262" s="104"/>
      <c r="DW262" s="104"/>
      <c r="DX262" s="104"/>
      <c r="DY262" s="104"/>
      <c r="DZ262" s="104"/>
      <c r="EA262" s="104"/>
      <c r="EB262" s="104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4"/>
      <c r="EP262" s="104"/>
      <c r="EQ262" s="104"/>
      <c r="ER262" s="104"/>
      <c r="ES262" s="104"/>
      <c r="ET262" s="104"/>
      <c r="EU262" s="104"/>
      <c r="EV262" s="104"/>
      <c r="EW262" s="104"/>
      <c r="EX262" s="104"/>
      <c r="EY262" s="104"/>
      <c r="EZ262" s="104"/>
      <c r="FA262" s="104"/>
      <c r="FB262" s="104"/>
      <c r="FC262" s="104"/>
      <c r="FD262" s="104"/>
      <c r="FE262" s="104"/>
      <c r="FF262" s="104"/>
      <c r="FG262" s="104"/>
      <c r="FH262" s="104"/>
      <c r="FI262" s="104"/>
      <c r="FJ262" s="104"/>
      <c r="FK262" s="104"/>
      <c r="FL262" s="104"/>
      <c r="FM262" s="104"/>
      <c r="FN262" s="104"/>
      <c r="FO262" s="104"/>
      <c r="FP262" s="104"/>
      <c r="FQ262" s="104"/>
      <c r="FR262" s="104"/>
      <c r="FS262" s="104"/>
      <c r="FT262" s="104"/>
      <c r="FU262" s="104"/>
      <c r="FV262" s="104"/>
      <c r="FW262" s="104"/>
      <c r="FX262" s="104"/>
      <c r="FY262" s="104"/>
      <c r="FZ262" s="104"/>
      <c r="GA262" s="104"/>
      <c r="GB262" s="104"/>
      <c r="GC262" s="104"/>
      <c r="GD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4"/>
      <c r="HC262" s="104"/>
      <c r="HD262" s="104"/>
      <c r="HE262" s="104"/>
      <c r="HF262" s="104"/>
      <c r="HG262" s="104"/>
      <c r="HH262" s="104"/>
      <c r="HI262" s="104"/>
      <c r="HJ262" s="104"/>
      <c r="HK262" s="104"/>
      <c r="HL262" s="104"/>
      <c r="HM262" s="104"/>
      <c r="HN262" s="104"/>
      <c r="HO262" s="104"/>
      <c r="HP262" s="104"/>
      <c r="HQ262" s="104"/>
      <c r="HR262" s="104"/>
      <c r="HS262" s="104"/>
      <c r="HT262" s="104"/>
      <c r="HU262" s="104"/>
      <c r="HV262" s="104"/>
      <c r="HW262" s="104"/>
      <c r="HX262" s="104"/>
      <c r="HY262" s="104"/>
      <c r="HZ262" s="104"/>
      <c r="IA262" s="104"/>
      <c r="IB262" s="104"/>
      <c r="IC262" s="104"/>
      <c r="ID262" s="104"/>
      <c r="IE262" s="104"/>
      <c r="IF262" s="104"/>
      <c r="IG262" s="104"/>
      <c r="IH262" s="104"/>
      <c r="II262" s="104"/>
      <c r="IJ262" s="104"/>
      <c r="IK262" s="104"/>
      <c r="IL262" s="104"/>
      <c r="IM262" s="104"/>
      <c r="IN262" s="104"/>
      <c r="IO262" s="104"/>
      <c r="IP262" s="104"/>
      <c r="IQ262" s="104"/>
      <c r="IR262" s="104"/>
      <c r="IS262" s="104"/>
      <c r="IT262" s="104"/>
      <c r="IU262" s="104"/>
      <c r="IV262" s="104"/>
      <c r="IW262" s="104"/>
      <c r="IX262" s="104"/>
      <c r="IY262" s="104"/>
      <c r="IZ262" s="104"/>
      <c r="JA262" s="104"/>
    </row>
    <row r="263" spans="2:261" x14ac:dyDescent="0.2">
      <c r="B263" s="104"/>
      <c r="C263" s="104"/>
      <c r="D263" s="104"/>
      <c r="E263" s="104"/>
      <c r="F263" s="104"/>
      <c r="G263" s="104"/>
      <c r="H263" s="104"/>
      <c r="I263" s="104"/>
      <c r="J263" s="151"/>
      <c r="K263" s="104"/>
      <c r="L263" s="104"/>
      <c r="M263" s="104"/>
      <c r="N263" s="151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O263" s="104"/>
      <c r="CP263" s="104"/>
      <c r="CQ263" s="104"/>
      <c r="CR263" s="104"/>
      <c r="CS263" s="104"/>
      <c r="CT263" s="104"/>
      <c r="CU263" s="104"/>
      <c r="CV263" s="104"/>
      <c r="CW263" s="104"/>
      <c r="CX263" s="104"/>
      <c r="CY263" s="104"/>
      <c r="CZ263" s="104"/>
      <c r="DA263" s="104"/>
      <c r="DB263" s="104"/>
      <c r="DC263" s="104"/>
      <c r="DD263" s="104"/>
      <c r="DE263" s="104"/>
      <c r="DF263" s="104"/>
      <c r="DG263" s="104"/>
      <c r="DH263" s="104"/>
      <c r="DI263" s="104"/>
      <c r="DJ263" s="104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104"/>
      <c r="DV263" s="104"/>
      <c r="DW263" s="104"/>
      <c r="DX263" s="104"/>
      <c r="DY263" s="104"/>
      <c r="DZ263" s="104"/>
      <c r="EA263" s="104"/>
      <c r="EB263" s="104"/>
      <c r="EC263" s="104"/>
      <c r="ED263" s="104"/>
      <c r="EE263" s="104"/>
      <c r="EF263" s="104"/>
      <c r="EG263" s="104"/>
      <c r="EH263" s="104"/>
      <c r="EI263" s="104"/>
      <c r="EJ263" s="104"/>
      <c r="EK263" s="104"/>
      <c r="EL263" s="104"/>
      <c r="EM263" s="104"/>
      <c r="EN263" s="104"/>
      <c r="EO263" s="104"/>
      <c r="EP263" s="104"/>
      <c r="EQ263" s="104"/>
      <c r="ER263" s="104"/>
      <c r="ES263" s="104"/>
      <c r="ET263" s="104"/>
      <c r="EU263" s="104"/>
      <c r="EV263" s="104"/>
      <c r="EW263" s="104"/>
      <c r="EX263" s="104"/>
      <c r="EY263" s="104"/>
      <c r="EZ263" s="104"/>
      <c r="FA263" s="104"/>
      <c r="FB263" s="104"/>
      <c r="FC263" s="104"/>
      <c r="FD263" s="104"/>
      <c r="FE263" s="104"/>
      <c r="FF263" s="104"/>
      <c r="FG263" s="104"/>
      <c r="FH263" s="104"/>
      <c r="FI263" s="104"/>
      <c r="FJ263" s="104"/>
      <c r="FK263" s="104"/>
      <c r="FL263" s="104"/>
      <c r="FM263" s="104"/>
      <c r="FN263" s="104"/>
      <c r="FO263" s="104"/>
      <c r="FP263" s="104"/>
      <c r="FQ263" s="104"/>
      <c r="FR263" s="104"/>
      <c r="FS263" s="104"/>
      <c r="FT263" s="104"/>
      <c r="FU263" s="104"/>
      <c r="FV263" s="104"/>
      <c r="FW263" s="104"/>
      <c r="FX263" s="104"/>
      <c r="FY263" s="104"/>
      <c r="FZ263" s="104"/>
      <c r="GA263" s="104"/>
      <c r="GB263" s="104"/>
      <c r="GC263" s="104"/>
      <c r="GD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  <c r="HA263" s="104"/>
      <c r="HB263" s="104"/>
      <c r="HC263" s="104"/>
      <c r="HD263" s="104"/>
      <c r="HE263" s="104"/>
      <c r="HF263" s="104"/>
      <c r="HG263" s="104"/>
      <c r="HH263" s="104"/>
      <c r="HI263" s="104"/>
      <c r="HJ263" s="104"/>
      <c r="HK263" s="104"/>
      <c r="HL263" s="104"/>
      <c r="HM263" s="104"/>
      <c r="HN263" s="104"/>
      <c r="HO263" s="104"/>
      <c r="HP263" s="104"/>
      <c r="HQ263" s="104"/>
      <c r="HR263" s="104"/>
      <c r="HS263" s="104"/>
      <c r="HT263" s="104"/>
      <c r="HU263" s="104"/>
      <c r="HV263" s="104"/>
      <c r="HW263" s="104"/>
      <c r="HX263" s="104"/>
      <c r="HY263" s="104"/>
      <c r="HZ263" s="104"/>
      <c r="IA263" s="104"/>
      <c r="IB263" s="104"/>
      <c r="IC263" s="104"/>
      <c r="ID263" s="104"/>
      <c r="IE263" s="104"/>
      <c r="IF263" s="104"/>
      <c r="IG263" s="104"/>
      <c r="IH263" s="104"/>
      <c r="II263" s="104"/>
      <c r="IJ263" s="104"/>
      <c r="IK263" s="104"/>
      <c r="IL263" s="104"/>
      <c r="IM263" s="104"/>
      <c r="IN263" s="104"/>
      <c r="IO263" s="104"/>
      <c r="IP263" s="104"/>
      <c r="IQ263" s="104"/>
      <c r="IR263" s="104"/>
      <c r="IS263" s="104"/>
      <c r="IT263" s="104"/>
      <c r="IU263" s="104"/>
      <c r="IV263" s="104"/>
      <c r="IW263" s="104"/>
      <c r="IX263" s="104"/>
      <c r="IY263" s="104"/>
      <c r="IZ263" s="104"/>
      <c r="JA263" s="104"/>
    </row>
    <row r="264" spans="2:261" x14ac:dyDescent="0.2">
      <c r="B264" s="104"/>
      <c r="C264" s="104"/>
      <c r="D264" s="104"/>
      <c r="E264" s="104"/>
      <c r="F264" s="104"/>
      <c r="G264" s="104"/>
      <c r="H264" s="104"/>
      <c r="I264" s="104"/>
      <c r="J264" s="151"/>
      <c r="K264" s="104"/>
      <c r="L264" s="104"/>
      <c r="M264" s="104"/>
      <c r="N264" s="151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4"/>
      <c r="DB264" s="104"/>
      <c r="DC264" s="104"/>
      <c r="DD264" s="104"/>
      <c r="DE264" s="104"/>
      <c r="DF264" s="104"/>
      <c r="DG264" s="104"/>
      <c r="DH264" s="104"/>
      <c r="DI264" s="104"/>
      <c r="DJ264" s="104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104"/>
      <c r="DV264" s="104"/>
      <c r="DW264" s="104"/>
      <c r="DX264" s="104"/>
      <c r="DY264" s="104"/>
      <c r="DZ264" s="104"/>
      <c r="EA264" s="104"/>
      <c r="EB264" s="104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4"/>
      <c r="EP264" s="104"/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4"/>
      <c r="FA264" s="104"/>
      <c r="FB264" s="104"/>
      <c r="FC264" s="104"/>
      <c r="FD264" s="104"/>
      <c r="FE264" s="104"/>
      <c r="FF264" s="104"/>
      <c r="FG264" s="104"/>
      <c r="FH264" s="104"/>
      <c r="FI264" s="104"/>
      <c r="FJ264" s="104"/>
      <c r="FK264" s="104"/>
      <c r="FL264" s="104"/>
      <c r="FM264" s="104"/>
      <c r="FN264" s="104"/>
      <c r="FO264" s="104"/>
      <c r="FP264" s="104"/>
      <c r="FQ264" s="104"/>
      <c r="FR264" s="104"/>
      <c r="FS264" s="104"/>
      <c r="FT264" s="104"/>
      <c r="FU264" s="104"/>
      <c r="FV264" s="104"/>
      <c r="FW264" s="104"/>
      <c r="FX264" s="104"/>
      <c r="FY264" s="104"/>
      <c r="FZ264" s="104"/>
      <c r="GA264" s="104"/>
      <c r="GB264" s="104"/>
      <c r="GC264" s="104"/>
      <c r="GD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4"/>
      <c r="HC264" s="104"/>
      <c r="HD264" s="104"/>
      <c r="HE264" s="104"/>
      <c r="HF264" s="104"/>
      <c r="HG264" s="104"/>
      <c r="HH264" s="104"/>
      <c r="HI264" s="104"/>
      <c r="HJ264" s="104"/>
      <c r="HK264" s="104"/>
      <c r="HL264" s="104"/>
      <c r="HM264" s="104"/>
      <c r="HN264" s="104"/>
      <c r="HO264" s="104"/>
      <c r="HP264" s="104"/>
      <c r="HQ264" s="104"/>
      <c r="HR264" s="104"/>
      <c r="HS264" s="104"/>
      <c r="HT264" s="104"/>
      <c r="HU264" s="104"/>
      <c r="HV264" s="104"/>
      <c r="HW264" s="104"/>
      <c r="HX264" s="104"/>
      <c r="HY264" s="104"/>
      <c r="HZ264" s="104"/>
      <c r="IA264" s="104"/>
      <c r="IB264" s="104"/>
      <c r="IC264" s="104"/>
      <c r="ID264" s="104"/>
      <c r="IE264" s="104"/>
      <c r="IF264" s="104"/>
      <c r="IG264" s="104"/>
      <c r="IH264" s="104"/>
      <c r="II264" s="104"/>
      <c r="IJ264" s="104"/>
      <c r="IK264" s="104"/>
      <c r="IL264" s="104"/>
      <c r="IM264" s="104"/>
      <c r="IN264" s="104"/>
      <c r="IO264" s="104"/>
      <c r="IP264" s="104"/>
      <c r="IQ264" s="104"/>
      <c r="IR264" s="104"/>
      <c r="IS264" s="104"/>
      <c r="IT264" s="104"/>
      <c r="IU264" s="104"/>
      <c r="IV264" s="104"/>
      <c r="IW264" s="104"/>
      <c r="IX264" s="104"/>
      <c r="IY264" s="104"/>
      <c r="IZ264" s="104"/>
      <c r="JA264" s="104"/>
    </row>
    <row r="265" spans="2:261" x14ac:dyDescent="0.2">
      <c r="B265" s="104"/>
      <c r="C265" s="104"/>
      <c r="D265" s="104"/>
      <c r="E265" s="104"/>
      <c r="F265" s="104"/>
      <c r="G265" s="104"/>
      <c r="H265" s="104"/>
      <c r="I265" s="104"/>
      <c r="J265" s="151"/>
      <c r="K265" s="104"/>
      <c r="L265" s="104"/>
      <c r="M265" s="104"/>
      <c r="N265" s="151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O265" s="104"/>
      <c r="CP265" s="104"/>
      <c r="CQ265" s="104"/>
      <c r="CR265" s="104"/>
      <c r="CS265" s="104"/>
      <c r="CT265" s="104"/>
      <c r="CU265" s="104"/>
      <c r="CV265" s="104"/>
      <c r="CW265" s="104"/>
      <c r="CX265" s="104"/>
      <c r="CY265" s="104"/>
      <c r="CZ265" s="104"/>
      <c r="DA265" s="104"/>
      <c r="DB265" s="104"/>
      <c r="DC265" s="104"/>
      <c r="DD265" s="104"/>
      <c r="DE265" s="104"/>
      <c r="DF265" s="104"/>
      <c r="DG265" s="104"/>
      <c r="DH265" s="104"/>
      <c r="DI265" s="104"/>
      <c r="DJ265" s="104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104"/>
      <c r="DV265" s="104"/>
      <c r="DW265" s="104"/>
      <c r="DX265" s="104"/>
      <c r="DY265" s="104"/>
      <c r="DZ265" s="104"/>
      <c r="EA265" s="104"/>
      <c r="EB265" s="104"/>
      <c r="EC265" s="104"/>
      <c r="ED265" s="104"/>
      <c r="EE265" s="104"/>
      <c r="EF265" s="104"/>
      <c r="EG265" s="104"/>
      <c r="EH265" s="104"/>
      <c r="EI265" s="104"/>
      <c r="EJ265" s="104"/>
      <c r="EK265" s="104"/>
      <c r="EL265" s="104"/>
      <c r="EM265" s="104"/>
      <c r="EN265" s="104"/>
      <c r="EO265" s="104"/>
      <c r="EP265" s="104"/>
      <c r="EQ265" s="104"/>
      <c r="ER265" s="104"/>
      <c r="ES265" s="104"/>
      <c r="ET265" s="104"/>
      <c r="EU265" s="104"/>
      <c r="EV265" s="104"/>
      <c r="EW265" s="104"/>
      <c r="EX265" s="104"/>
      <c r="EY265" s="104"/>
      <c r="EZ265" s="104"/>
      <c r="FA265" s="104"/>
      <c r="FB265" s="104"/>
      <c r="FC265" s="104"/>
      <c r="FD265" s="104"/>
      <c r="FE265" s="104"/>
      <c r="FF265" s="104"/>
      <c r="FG265" s="104"/>
      <c r="FH265" s="104"/>
      <c r="FI265" s="104"/>
      <c r="FJ265" s="104"/>
      <c r="FK265" s="104"/>
      <c r="FL265" s="104"/>
      <c r="FM265" s="104"/>
      <c r="FN265" s="104"/>
      <c r="FO265" s="104"/>
      <c r="FP265" s="104"/>
      <c r="FQ265" s="104"/>
      <c r="FR265" s="104"/>
      <c r="FS265" s="104"/>
      <c r="FT265" s="104"/>
      <c r="FU265" s="104"/>
      <c r="FV265" s="104"/>
      <c r="FW265" s="104"/>
      <c r="FX265" s="104"/>
      <c r="FY265" s="104"/>
      <c r="FZ265" s="104"/>
      <c r="GA265" s="104"/>
      <c r="GB265" s="104"/>
      <c r="GC265" s="104"/>
      <c r="GD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  <c r="HA265" s="104"/>
      <c r="HB265" s="104"/>
      <c r="HC265" s="104"/>
      <c r="HD265" s="104"/>
      <c r="HE265" s="104"/>
      <c r="HF265" s="104"/>
      <c r="HG265" s="104"/>
      <c r="HH265" s="104"/>
      <c r="HI265" s="104"/>
      <c r="HJ265" s="104"/>
      <c r="HK265" s="104"/>
      <c r="HL265" s="104"/>
      <c r="HM265" s="104"/>
      <c r="HN265" s="104"/>
      <c r="HO265" s="104"/>
      <c r="HP265" s="104"/>
      <c r="HQ265" s="104"/>
      <c r="HR265" s="104"/>
      <c r="HS265" s="104"/>
      <c r="HT265" s="104"/>
      <c r="HU265" s="104"/>
      <c r="HV265" s="104"/>
      <c r="HW265" s="104"/>
      <c r="HX265" s="104"/>
      <c r="HY265" s="104"/>
      <c r="HZ265" s="104"/>
      <c r="IA265" s="104"/>
      <c r="IB265" s="104"/>
      <c r="IC265" s="104"/>
      <c r="ID265" s="104"/>
      <c r="IE265" s="104"/>
      <c r="IF265" s="104"/>
      <c r="IG265" s="104"/>
      <c r="IH265" s="104"/>
      <c r="II265" s="104"/>
      <c r="IJ265" s="104"/>
      <c r="IK265" s="104"/>
      <c r="IL265" s="104"/>
      <c r="IM265" s="104"/>
      <c r="IN265" s="104"/>
      <c r="IO265" s="104"/>
      <c r="IP265" s="104"/>
      <c r="IQ265" s="104"/>
      <c r="IR265" s="104"/>
      <c r="IS265" s="104"/>
      <c r="IT265" s="104"/>
      <c r="IU265" s="104"/>
      <c r="IV265" s="104"/>
      <c r="IW265" s="104"/>
      <c r="IX265" s="104"/>
      <c r="IY265" s="104"/>
      <c r="IZ265" s="104"/>
      <c r="JA265" s="104"/>
    </row>
    <row r="266" spans="2:261" x14ac:dyDescent="0.2">
      <c r="B266" s="104"/>
      <c r="C266" s="104"/>
      <c r="D266" s="104"/>
      <c r="E266" s="104"/>
      <c r="F266" s="104"/>
      <c r="G266" s="104"/>
      <c r="H266" s="104"/>
      <c r="I266" s="104"/>
      <c r="J266" s="151"/>
      <c r="K266" s="104"/>
      <c r="L266" s="104"/>
      <c r="M266" s="104"/>
      <c r="N266" s="151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  <c r="CH266" s="104"/>
      <c r="CI266" s="104"/>
      <c r="CJ266" s="104"/>
      <c r="CK266" s="104"/>
      <c r="CL266" s="104"/>
      <c r="CM266" s="104"/>
      <c r="CN266" s="104"/>
      <c r="CO266" s="104"/>
      <c r="CP266" s="104"/>
      <c r="CQ266" s="104"/>
      <c r="CR266" s="104"/>
      <c r="CS266" s="104"/>
      <c r="CT266" s="104"/>
      <c r="CU266" s="104"/>
      <c r="CV266" s="104"/>
      <c r="CW266" s="104"/>
      <c r="CX266" s="104"/>
      <c r="CY266" s="104"/>
      <c r="CZ266" s="104"/>
      <c r="DA266" s="104"/>
      <c r="DB266" s="104"/>
      <c r="DC266" s="104"/>
      <c r="DD266" s="104"/>
      <c r="DE266" s="104"/>
      <c r="DF266" s="104"/>
      <c r="DG266" s="104"/>
      <c r="DH266" s="104"/>
      <c r="DI266" s="104"/>
      <c r="DJ266" s="104"/>
      <c r="DK266" s="104"/>
      <c r="DL266" s="104"/>
      <c r="DM266" s="104"/>
      <c r="DN266" s="104"/>
      <c r="DO266" s="104"/>
      <c r="DP266" s="104"/>
      <c r="DQ266" s="104"/>
      <c r="DR266" s="104"/>
      <c r="DS266" s="104"/>
      <c r="DT266" s="104"/>
      <c r="DU266" s="104"/>
      <c r="DV266" s="104"/>
      <c r="DW266" s="104"/>
      <c r="DX266" s="104"/>
      <c r="DY266" s="104"/>
      <c r="DZ266" s="104"/>
      <c r="EA266" s="104"/>
      <c r="EB266" s="104"/>
      <c r="EC266" s="104"/>
      <c r="ED266" s="104"/>
      <c r="EE266" s="104"/>
      <c r="EF266" s="104"/>
      <c r="EG266" s="104"/>
      <c r="EH266" s="104"/>
      <c r="EI266" s="104"/>
      <c r="EJ266" s="104"/>
      <c r="EK266" s="104"/>
      <c r="EL266" s="104"/>
      <c r="EM266" s="104"/>
      <c r="EN266" s="104"/>
      <c r="EO266" s="104"/>
      <c r="EP266" s="104"/>
      <c r="EQ266" s="104"/>
      <c r="ER266" s="104"/>
      <c r="ES266" s="104"/>
      <c r="ET266" s="104"/>
      <c r="EU266" s="104"/>
      <c r="EV266" s="104"/>
      <c r="EW266" s="104"/>
      <c r="EX266" s="104"/>
      <c r="EY266" s="104"/>
      <c r="EZ266" s="104"/>
      <c r="FA266" s="104"/>
      <c r="FB266" s="104"/>
      <c r="FC266" s="104"/>
      <c r="FD266" s="104"/>
      <c r="FE266" s="104"/>
      <c r="FF266" s="104"/>
      <c r="FG266" s="104"/>
      <c r="FH266" s="104"/>
      <c r="FI266" s="104"/>
      <c r="FJ266" s="104"/>
      <c r="FK266" s="104"/>
      <c r="FL266" s="104"/>
      <c r="FM266" s="104"/>
      <c r="FN266" s="104"/>
      <c r="FO266" s="104"/>
      <c r="FP266" s="104"/>
      <c r="FQ266" s="104"/>
      <c r="FR266" s="104"/>
      <c r="FS266" s="104"/>
      <c r="FT266" s="104"/>
      <c r="FU266" s="104"/>
      <c r="FV266" s="104"/>
      <c r="FW266" s="104"/>
      <c r="FX266" s="104"/>
      <c r="FY266" s="104"/>
      <c r="FZ266" s="104"/>
      <c r="GA266" s="104"/>
      <c r="GB266" s="104"/>
      <c r="GC266" s="104"/>
      <c r="GD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  <c r="HA266" s="104"/>
      <c r="HB266" s="104"/>
      <c r="HC266" s="104"/>
      <c r="HD266" s="104"/>
      <c r="HE266" s="104"/>
      <c r="HF266" s="104"/>
      <c r="HG266" s="104"/>
      <c r="HH266" s="104"/>
      <c r="HI266" s="104"/>
      <c r="HJ266" s="104"/>
      <c r="HK266" s="104"/>
      <c r="HL266" s="104"/>
      <c r="HM266" s="104"/>
      <c r="HN266" s="104"/>
      <c r="HO266" s="104"/>
      <c r="HP266" s="104"/>
      <c r="HQ266" s="104"/>
      <c r="HR266" s="104"/>
      <c r="HS266" s="104"/>
      <c r="HT266" s="104"/>
      <c r="HU266" s="104"/>
      <c r="HV266" s="104"/>
      <c r="HW266" s="104"/>
      <c r="HX266" s="104"/>
      <c r="HY266" s="104"/>
      <c r="HZ266" s="104"/>
      <c r="IA266" s="104"/>
      <c r="IB266" s="104"/>
      <c r="IC266" s="104"/>
      <c r="ID266" s="104"/>
      <c r="IE266" s="104"/>
      <c r="IF266" s="104"/>
      <c r="IG266" s="104"/>
      <c r="IH266" s="104"/>
      <c r="II266" s="104"/>
      <c r="IJ266" s="104"/>
      <c r="IK266" s="104"/>
      <c r="IL266" s="104"/>
      <c r="IM266" s="104"/>
      <c r="IN266" s="104"/>
      <c r="IO266" s="104"/>
      <c r="IP266" s="104"/>
      <c r="IQ266" s="104"/>
      <c r="IR266" s="104"/>
      <c r="IS266" s="104"/>
      <c r="IT266" s="104"/>
      <c r="IU266" s="104"/>
      <c r="IV266" s="104"/>
      <c r="IW266" s="104"/>
      <c r="IX266" s="104"/>
      <c r="IY266" s="104"/>
      <c r="IZ266" s="104"/>
      <c r="JA266" s="104"/>
    </row>
    <row r="267" spans="2:261" x14ac:dyDescent="0.2">
      <c r="B267" s="104"/>
      <c r="C267" s="104"/>
      <c r="D267" s="104"/>
      <c r="E267" s="104"/>
      <c r="F267" s="104"/>
      <c r="G267" s="104"/>
      <c r="H267" s="104"/>
      <c r="I267" s="104"/>
      <c r="J267" s="151"/>
      <c r="K267" s="104"/>
      <c r="L267" s="104"/>
      <c r="M267" s="104"/>
      <c r="N267" s="151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  <c r="CH267" s="104"/>
      <c r="CI267" s="104"/>
      <c r="CJ267" s="104"/>
      <c r="CK267" s="104"/>
      <c r="CL267" s="104"/>
      <c r="CM267" s="104"/>
      <c r="CN267" s="104"/>
      <c r="CO267" s="104"/>
      <c r="CP267" s="104"/>
      <c r="CQ267" s="104"/>
      <c r="CR267" s="104"/>
      <c r="CS267" s="104"/>
      <c r="CT267" s="104"/>
      <c r="CU267" s="104"/>
      <c r="CV267" s="104"/>
      <c r="CW267" s="104"/>
      <c r="CX267" s="104"/>
      <c r="CY267" s="104"/>
      <c r="CZ267" s="104"/>
      <c r="DA267" s="104"/>
      <c r="DB267" s="104"/>
      <c r="DC267" s="104"/>
      <c r="DD267" s="104"/>
      <c r="DE267" s="104"/>
      <c r="DF267" s="104"/>
      <c r="DG267" s="104"/>
      <c r="DH267" s="104"/>
      <c r="DI267" s="104"/>
      <c r="DJ267" s="104"/>
      <c r="DK267" s="104"/>
      <c r="DL267" s="104"/>
      <c r="DM267" s="104"/>
      <c r="DN267" s="104"/>
      <c r="DO267" s="104"/>
      <c r="DP267" s="104"/>
      <c r="DQ267" s="104"/>
      <c r="DR267" s="104"/>
      <c r="DS267" s="104"/>
      <c r="DT267" s="104"/>
      <c r="DU267" s="104"/>
      <c r="DV267" s="104"/>
      <c r="DW267" s="104"/>
      <c r="DX267" s="104"/>
      <c r="DY267" s="104"/>
      <c r="DZ267" s="104"/>
      <c r="EA267" s="104"/>
      <c r="EB267" s="104"/>
      <c r="EC267" s="104"/>
      <c r="ED267" s="104"/>
      <c r="EE267" s="104"/>
      <c r="EF267" s="104"/>
      <c r="EG267" s="104"/>
      <c r="EH267" s="104"/>
      <c r="EI267" s="104"/>
      <c r="EJ267" s="104"/>
      <c r="EK267" s="104"/>
      <c r="EL267" s="104"/>
      <c r="EM267" s="104"/>
      <c r="EN267" s="104"/>
      <c r="EO267" s="104"/>
      <c r="EP267" s="104"/>
      <c r="EQ267" s="104"/>
      <c r="ER267" s="104"/>
      <c r="ES267" s="104"/>
      <c r="ET267" s="104"/>
      <c r="EU267" s="104"/>
      <c r="EV267" s="104"/>
      <c r="EW267" s="104"/>
      <c r="EX267" s="104"/>
      <c r="EY267" s="104"/>
      <c r="EZ267" s="104"/>
      <c r="FA267" s="104"/>
      <c r="FB267" s="104"/>
      <c r="FC267" s="104"/>
      <c r="FD267" s="104"/>
      <c r="FE267" s="104"/>
      <c r="FF267" s="104"/>
      <c r="FG267" s="104"/>
      <c r="FH267" s="104"/>
      <c r="FI267" s="104"/>
      <c r="FJ267" s="104"/>
      <c r="FK267" s="104"/>
      <c r="FL267" s="104"/>
      <c r="FM267" s="104"/>
      <c r="FN267" s="104"/>
      <c r="FO267" s="104"/>
      <c r="FP267" s="104"/>
      <c r="FQ267" s="104"/>
      <c r="FR267" s="104"/>
      <c r="FS267" s="104"/>
      <c r="FT267" s="104"/>
      <c r="FU267" s="104"/>
      <c r="FV267" s="104"/>
      <c r="FW267" s="104"/>
      <c r="FX267" s="104"/>
      <c r="FY267" s="104"/>
      <c r="FZ267" s="104"/>
      <c r="GA267" s="104"/>
      <c r="GB267" s="104"/>
      <c r="GC267" s="104"/>
      <c r="GD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  <c r="HA267" s="104"/>
      <c r="HB267" s="104"/>
      <c r="HC267" s="104"/>
      <c r="HD267" s="104"/>
      <c r="HE267" s="104"/>
      <c r="HF267" s="104"/>
      <c r="HG267" s="104"/>
      <c r="HH267" s="104"/>
      <c r="HI267" s="104"/>
      <c r="HJ267" s="104"/>
      <c r="HK267" s="104"/>
      <c r="HL267" s="104"/>
      <c r="HM267" s="104"/>
      <c r="HN267" s="104"/>
      <c r="HO267" s="104"/>
      <c r="HP267" s="104"/>
      <c r="HQ267" s="104"/>
      <c r="HR267" s="104"/>
      <c r="HS267" s="104"/>
      <c r="HT267" s="104"/>
      <c r="HU267" s="104"/>
      <c r="HV267" s="104"/>
      <c r="HW267" s="104"/>
      <c r="HX267" s="104"/>
      <c r="HY267" s="104"/>
      <c r="HZ267" s="104"/>
      <c r="IA267" s="104"/>
      <c r="IB267" s="104"/>
      <c r="IC267" s="104"/>
      <c r="ID267" s="104"/>
      <c r="IE267" s="104"/>
      <c r="IF267" s="104"/>
      <c r="IG267" s="104"/>
      <c r="IH267" s="104"/>
      <c r="II267" s="104"/>
      <c r="IJ267" s="104"/>
      <c r="IK267" s="104"/>
      <c r="IL267" s="104"/>
      <c r="IM267" s="104"/>
      <c r="IN267" s="104"/>
      <c r="IO267" s="104"/>
      <c r="IP267" s="104"/>
      <c r="IQ267" s="104"/>
      <c r="IR267" s="104"/>
      <c r="IS267" s="104"/>
      <c r="IT267" s="104"/>
      <c r="IU267" s="104"/>
      <c r="IV267" s="104"/>
      <c r="IW267" s="104"/>
      <c r="IX267" s="104"/>
      <c r="IY267" s="104"/>
      <c r="IZ267" s="104"/>
      <c r="JA267" s="104"/>
    </row>
    <row r="268" spans="2:261" x14ac:dyDescent="0.2">
      <c r="B268" s="104"/>
      <c r="C268" s="104"/>
      <c r="D268" s="104"/>
      <c r="E268" s="104"/>
      <c r="F268" s="104"/>
      <c r="G268" s="104"/>
      <c r="H268" s="104"/>
      <c r="I268" s="104"/>
      <c r="J268" s="151"/>
      <c r="K268" s="104"/>
      <c r="L268" s="104"/>
      <c r="M268" s="104"/>
      <c r="N268" s="151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  <c r="CH268" s="104"/>
      <c r="CI268" s="104"/>
      <c r="CJ268" s="104"/>
      <c r="CK268" s="104"/>
      <c r="CL268" s="104"/>
      <c r="CM268" s="104"/>
      <c r="CN268" s="104"/>
      <c r="CO268" s="104"/>
      <c r="CP268" s="104"/>
      <c r="CQ268" s="104"/>
      <c r="CR268" s="104"/>
      <c r="CS268" s="104"/>
      <c r="CT268" s="104"/>
      <c r="CU268" s="104"/>
      <c r="CV268" s="104"/>
      <c r="CW268" s="104"/>
      <c r="CX268" s="104"/>
      <c r="CY268" s="104"/>
      <c r="CZ268" s="104"/>
      <c r="DA268" s="104"/>
      <c r="DB268" s="104"/>
      <c r="DC268" s="104"/>
      <c r="DD268" s="104"/>
      <c r="DE268" s="104"/>
      <c r="DF268" s="104"/>
      <c r="DG268" s="104"/>
      <c r="DH268" s="104"/>
      <c r="DI268" s="104"/>
      <c r="DJ268" s="104"/>
      <c r="DK268" s="104"/>
      <c r="DL268" s="104"/>
      <c r="DM268" s="104"/>
      <c r="DN268" s="104"/>
      <c r="DO268" s="104"/>
      <c r="DP268" s="104"/>
      <c r="DQ268" s="104"/>
      <c r="DR268" s="104"/>
      <c r="DS268" s="104"/>
      <c r="DT268" s="104"/>
      <c r="DU268" s="104"/>
      <c r="DV268" s="104"/>
      <c r="DW268" s="104"/>
      <c r="DX268" s="104"/>
      <c r="DY268" s="104"/>
      <c r="DZ268" s="104"/>
      <c r="EA268" s="104"/>
      <c r="EB268" s="104"/>
      <c r="EC268" s="104"/>
      <c r="ED268" s="104"/>
      <c r="EE268" s="104"/>
      <c r="EF268" s="104"/>
      <c r="EG268" s="104"/>
      <c r="EH268" s="104"/>
      <c r="EI268" s="104"/>
      <c r="EJ268" s="104"/>
      <c r="EK268" s="104"/>
      <c r="EL268" s="104"/>
      <c r="EM268" s="104"/>
      <c r="EN268" s="104"/>
      <c r="EO268" s="104"/>
      <c r="EP268" s="104"/>
      <c r="EQ268" s="104"/>
      <c r="ER268" s="104"/>
      <c r="ES268" s="104"/>
      <c r="ET268" s="104"/>
      <c r="EU268" s="104"/>
      <c r="EV268" s="104"/>
      <c r="EW268" s="104"/>
      <c r="EX268" s="104"/>
      <c r="EY268" s="104"/>
      <c r="EZ268" s="104"/>
      <c r="FA268" s="104"/>
      <c r="FB268" s="104"/>
      <c r="FC268" s="104"/>
      <c r="FD268" s="104"/>
      <c r="FE268" s="104"/>
      <c r="FF268" s="104"/>
      <c r="FG268" s="104"/>
      <c r="FH268" s="104"/>
      <c r="FI268" s="104"/>
      <c r="FJ268" s="104"/>
      <c r="FK268" s="104"/>
      <c r="FL268" s="104"/>
      <c r="FM268" s="104"/>
      <c r="FN268" s="104"/>
      <c r="FO268" s="104"/>
      <c r="FP268" s="104"/>
      <c r="FQ268" s="104"/>
      <c r="FR268" s="104"/>
      <c r="FS268" s="104"/>
      <c r="FT268" s="104"/>
      <c r="FU268" s="104"/>
      <c r="FV268" s="104"/>
      <c r="FW268" s="104"/>
      <c r="FX268" s="104"/>
      <c r="FY268" s="104"/>
      <c r="FZ268" s="104"/>
      <c r="GA268" s="104"/>
      <c r="GB268" s="104"/>
      <c r="GC268" s="104"/>
      <c r="GD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  <c r="HA268" s="104"/>
      <c r="HB268" s="104"/>
      <c r="HC268" s="104"/>
      <c r="HD268" s="104"/>
      <c r="HE268" s="104"/>
      <c r="HF268" s="104"/>
      <c r="HG268" s="104"/>
      <c r="HH268" s="104"/>
      <c r="HI268" s="104"/>
      <c r="HJ268" s="104"/>
      <c r="HK268" s="104"/>
      <c r="HL268" s="104"/>
      <c r="HM268" s="104"/>
      <c r="HN268" s="104"/>
      <c r="HO268" s="104"/>
      <c r="HP268" s="104"/>
      <c r="HQ268" s="104"/>
      <c r="HR268" s="104"/>
      <c r="HS268" s="104"/>
      <c r="HT268" s="104"/>
      <c r="HU268" s="104"/>
      <c r="HV268" s="104"/>
      <c r="HW268" s="104"/>
      <c r="HX268" s="104"/>
      <c r="HY268" s="104"/>
      <c r="HZ268" s="104"/>
      <c r="IA268" s="104"/>
      <c r="IB268" s="104"/>
      <c r="IC268" s="104"/>
      <c r="ID268" s="104"/>
      <c r="IE268" s="104"/>
      <c r="IF268" s="104"/>
      <c r="IG268" s="104"/>
      <c r="IH268" s="104"/>
      <c r="II268" s="104"/>
      <c r="IJ268" s="104"/>
      <c r="IK268" s="104"/>
      <c r="IL268" s="104"/>
      <c r="IM268" s="104"/>
      <c r="IN268" s="104"/>
      <c r="IO268" s="104"/>
      <c r="IP268" s="104"/>
      <c r="IQ268" s="104"/>
      <c r="IR268" s="104"/>
      <c r="IS268" s="104"/>
      <c r="IT268" s="104"/>
      <c r="IU268" s="104"/>
      <c r="IV268" s="104"/>
      <c r="IW268" s="104"/>
      <c r="IX268" s="104"/>
      <c r="IY268" s="104"/>
      <c r="IZ268" s="104"/>
      <c r="JA268" s="104"/>
    </row>
    <row r="269" spans="2:261" x14ac:dyDescent="0.2">
      <c r="B269" s="104"/>
      <c r="C269" s="104"/>
      <c r="D269" s="104"/>
      <c r="E269" s="104"/>
      <c r="F269" s="104"/>
      <c r="G269" s="104"/>
      <c r="H269" s="104"/>
      <c r="I269" s="104"/>
      <c r="J269" s="151"/>
      <c r="K269" s="104"/>
      <c r="L269" s="104"/>
      <c r="M269" s="104"/>
      <c r="N269" s="151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4"/>
      <c r="DB269" s="104"/>
      <c r="DC269" s="104"/>
      <c r="DD269" s="104"/>
      <c r="DE269" s="104"/>
      <c r="DF269" s="104"/>
      <c r="DG269" s="104"/>
      <c r="DH269" s="104"/>
      <c r="DI269" s="104"/>
      <c r="DJ269" s="104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104"/>
      <c r="DV269" s="104"/>
      <c r="DW269" s="104"/>
      <c r="DX269" s="104"/>
      <c r="DY269" s="104"/>
      <c r="DZ269" s="104"/>
      <c r="EA269" s="104"/>
      <c r="EB269" s="104"/>
      <c r="EC269" s="104"/>
      <c r="ED269" s="104"/>
      <c r="EE269" s="104"/>
      <c r="EF269" s="104"/>
      <c r="EG269" s="104"/>
      <c r="EH269" s="104"/>
      <c r="EI269" s="104"/>
      <c r="EJ269" s="104"/>
      <c r="EK269" s="104"/>
      <c r="EL269" s="104"/>
      <c r="EM269" s="104"/>
      <c r="EN269" s="104"/>
      <c r="EO269" s="104"/>
      <c r="EP269" s="104"/>
      <c r="EQ269" s="104"/>
      <c r="ER269" s="104"/>
      <c r="ES269" s="104"/>
      <c r="ET269" s="104"/>
      <c r="EU269" s="104"/>
      <c r="EV269" s="104"/>
      <c r="EW269" s="104"/>
      <c r="EX269" s="104"/>
      <c r="EY269" s="104"/>
      <c r="EZ269" s="104"/>
      <c r="FA269" s="104"/>
      <c r="FB269" s="104"/>
      <c r="FC269" s="104"/>
      <c r="FD269" s="104"/>
      <c r="FE269" s="104"/>
      <c r="FF269" s="104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  <c r="HA269" s="104"/>
      <c r="HB269" s="104"/>
      <c r="HC269" s="104"/>
      <c r="HD269" s="104"/>
      <c r="HE269" s="104"/>
      <c r="HF269" s="104"/>
      <c r="HG269" s="104"/>
      <c r="HH269" s="104"/>
      <c r="HI269" s="104"/>
      <c r="HJ269" s="104"/>
      <c r="HK269" s="104"/>
      <c r="HL269" s="104"/>
      <c r="HM269" s="104"/>
      <c r="HN269" s="104"/>
      <c r="HO269" s="104"/>
      <c r="HP269" s="104"/>
      <c r="HQ269" s="104"/>
      <c r="HR269" s="104"/>
      <c r="HS269" s="104"/>
      <c r="HT269" s="104"/>
      <c r="HU269" s="104"/>
      <c r="HV269" s="104"/>
      <c r="HW269" s="104"/>
      <c r="HX269" s="104"/>
      <c r="HY269" s="104"/>
      <c r="HZ269" s="104"/>
      <c r="IA269" s="104"/>
      <c r="IB269" s="104"/>
      <c r="IC269" s="104"/>
      <c r="ID269" s="104"/>
      <c r="IE269" s="104"/>
      <c r="IF269" s="104"/>
      <c r="IG269" s="104"/>
      <c r="IH269" s="104"/>
      <c r="II269" s="104"/>
      <c r="IJ269" s="104"/>
      <c r="IK269" s="104"/>
      <c r="IL269" s="104"/>
      <c r="IM269" s="104"/>
      <c r="IN269" s="104"/>
      <c r="IO269" s="104"/>
      <c r="IP269" s="104"/>
      <c r="IQ269" s="104"/>
      <c r="IR269" s="104"/>
      <c r="IS269" s="104"/>
      <c r="IT269" s="104"/>
      <c r="IU269" s="104"/>
      <c r="IV269" s="104"/>
      <c r="IW269" s="104"/>
      <c r="IX269" s="104"/>
      <c r="IY269" s="104"/>
      <c r="IZ269" s="104"/>
      <c r="JA269" s="104"/>
    </row>
    <row r="270" spans="2:261" x14ac:dyDescent="0.2">
      <c r="B270" s="104"/>
      <c r="C270" s="104"/>
      <c r="D270" s="104"/>
      <c r="E270" s="104"/>
      <c r="F270" s="104"/>
      <c r="G270" s="104"/>
      <c r="H270" s="104"/>
      <c r="I270" s="104"/>
      <c r="J270" s="151"/>
      <c r="K270" s="104"/>
      <c r="L270" s="104"/>
      <c r="M270" s="104"/>
      <c r="N270" s="151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O270" s="104"/>
      <c r="CP270" s="104"/>
      <c r="CQ270" s="104"/>
      <c r="CR270" s="104"/>
      <c r="CS270" s="104"/>
      <c r="CT270" s="104"/>
      <c r="CU270" s="104"/>
      <c r="CV270" s="104"/>
      <c r="CW270" s="104"/>
      <c r="CX270" s="104"/>
      <c r="CY270" s="104"/>
      <c r="CZ270" s="104"/>
      <c r="DA270" s="104"/>
      <c r="DB270" s="104"/>
      <c r="DC270" s="104"/>
      <c r="DD270" s="104"/>
      <c r="DE270" s="104"/>
      <c r="DF270" s="104"/>
      <c r="DG270" s="104"/>
      <c r="DH270" s="104"/>
      <c r="DI270" s="104"/>
      <c r="DJ270" s="104"/>
      <c r="DK270" s="104"/>
      <c r="DL270" s="104"/>
      <c r="DM270" s="104"/>
      <c r="DN270" s="104"/>
      <c r="DO270" s="104"/>
      <c r="DP270" s="104"/>
      <c r="DQ270" s="104"/>
      <c r="DR270" s="104"/>
      <c r="DS270" s="104"/>
      <c r="DT270" s="104"/>
      <c r="DU270" s="104"/>
      <c r="DV270" s="104"/>
      <c r="DW270" s="104"/>
      <c r="DX270" s="104"/>
      <c r="DY270" s="104"/>
      <c r="DZ270" s="104"/>
      <c r="EA270" s="104"/>
      <c r="EB270" s="104"/>
      <c r="EC270" s="104"/>
      <c r="ED270" s="104"/>
      <c r="EE270" s="104"/>
      <c r="EF270" s="104"/>
      <c r="EG270" s="104"/>
      <c r="EH270" s="104"/>
      <c r="EI270" s="104"/>
      <c r="EJ270" s="104"/>
      <c r="EK270" s="104"/>
      <c r="EL270" s="104"/>
      <c r="EM270" s="104"/>
      <c r="EN270" s="104"/>
      <c r="EO270" s="104"/>
      <c r="EP270" s="104"/>
      <c r="EQ270" s="104"/>
      <c r="ER270" s="104"/>
      <c r="ES270" s="104"/>
      <c r="ET270" s="104"/>
      <c r="EU270" s="104"/>
      <c r="EV270" s="104"/>
      <c r="EW270" s="104"/>
      <c r="EX270" s="104"/>
      <c r="EY270" s="104"/>
      <c r="EZ270" s="104"/>
      <c r="FA270" s="104"/>
      <c r="FB270" s="104"/>
      <c r="FC270" s="104"/>
      <c r="FD270" s="104"/>
      <c r="FE270" s="104"/>
      <c r="FF270" s="104"/>
      <c r="FG270" s="104"/>
      <c r="FH270" s="104"/>
      <c r="FI270" s="104"/>
      <c r="FJ270" s="104"/>
      <c r="FK270" s="104"/>
      <c r="FL270" s="104"/>
      <c r="FM270" s="104"/>
      <c r="FN270" s="104"/>
      <c r="FO270" s="104"/>
      <c r="FP270" s="104"/>
      <c r="FQ270" s="104"/>
      <c r="FR270" s="104"/>
      <c r="FS270" s="104"/>
      <c r="FT270" s="104"/>
      <c r="FU270" s="104"/>
      <c r="FV270" s="104"/>
      <c r="FW270" s="104"/>
      <c r="FX270" s="104"/>
      <c r="FY270" s="104"/>
      <c r="FZ270" s="104"/>
      <c r="GA270" s="104"/>
      <c r="GB270" s="104"/>
      <c r="GC270" s="104"/>
      <c r="GD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  <c r="HA270" s="104"/>
      <c r="HB270" s="104"/>
      <c r="HC270" s="104"/>
      <c r="HD270" s="104"/>
      <c r="HE270" s="104"/>
      <c r="HF270" s="104"/>
      <c r="HG270" s="104"/>
      <c r="HH270" s="104"/>
      <c r="HI270" s="104"/>
      <c r="HJ270" s="104"/>
      <c r="HK270" s="104"/>
      <c r="HL270" s="104"/>
      <c r="HM270" s="104"/>
      <c r="HN270" s="104"/>
      <c r="HO270" s="104"/>
      <c r="HP270" s="104"/>
      <c r="HQ270" s="104"/>
      <c r="HR270" s="104"/>
      <c r="HS270" s="104"/>
      <c r="HT270" s="104"/>
      <c r="HU270" s="104"/>
      <c r="HV270" s="104"/>
      <c r="HW270" s="104"/>
      <c r="HX270" s="104"/>
      <c r="HY270" s="104"/>
      <c r="HZ270" s="104"/>
      <c r="IA270" s="104"/>
      <c r="IB270" s="104"/>
      <c r="IC270" s="104"/>
      <c r="ID270" s="104"/>
      <c r="IE270" s="104"/>
      <c r="IF270" s="104"/>
      <c r="IG270" s="104"/>
      <c r="IH270" s="104"/>
      <c r="II270" s="104"/>
      <c r="IJ270" s="104"/>
      <c r="IK270" s="104"/>
      <c r="IL270" s="104"/>
      <c r="IM270" s="104"/>
      <c r="IN270" s="104"/>
      <c r="IO270" s="104"/>
      <c r="IP270" s="104"/>
      <c r="IQ270" s="104"/>
      <c r="IR270" s="104"/>
      <c r="IS270" s="104"/>
      <c r="IT270" s="104"/>
      <c r="IU270" s="104"/>
      <c r="IV270" s="104"/>
      <c r="IW270" s="104"/>
      <c r="IX270" s="104"/>
      <c r="IY270" s="104"/>
      <c r="IZ270" s="104"/>
      <c r="JA270" s="104"/>
    </row>
    <row r="271" spans="2:261" x14ac:dyDescent="0.2">
      <c r="B271" s="104"/>
      <c r="C271" s="104"/>
      <c r="D271" s="104"/>
      <c r="E271" s="104"/>
      <c r="F271" s="104"/>
      <c r="G271" s="104"/>
      <c r="H271" s="104"/>
      <c r="I271" s="104"/>
      <c r="J271" s="151"/>
      <c r="K271" s="104"/>
      <c r="L271" s="104"/>
      <c r="M271" s="104"/>
      <c r="N271" s="151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  <c r="CH271" s="104"/>
      <c r="CI271" s="104"/>
      <c r="CJ271" s="104"/>
      <c r="CK271" s="104"/>
      <c r="CL271" s="104"/>
      <c r="CM271" s="104"/>
      <c r="CN271" s="104"/>
      <c r="CO271" s="104"/>
      <c r="CP271" s="104"/>
      <c r="CQ271" s="104"/>
      <c r="CR271" s="104"/>
      <c r="CS271" s="104"/>
      <c r="CT271" s="104"/>
      <c r="CU271" s="104"/>
      <c r="CV271" s="104"/>
      <c r="CW271" s="104"/>
      <c r="CX271" s="104"/>
      <c r="CY271" s="104"/>
      <c r="CZ271" s="104"/>
      <c r="DA271" s="104"/>
      <c r="DB271" s="104"/>
      <c r="DC271" s="104"/>
      <c r="DD271" s="104"/>
      <c r="DE271" s="104"/>
      <c r="DF271" s="104"/>
      <c r="DG271" s="104"/>
      <c r="DH271" s="104"/>
      <c r="DI271" s="104"/>
      <c r="DJ271" s="104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104"/>
      <c r="DV271" s="104"/>
      <c r="DW271" s="104"/>
      <c r="DX271" s="104"/>
      <c r="DY271" s="104"/>
      <c r="DZ271" s="104"/>
      <c r="EA271" s="104"/>
      <c r="EB271" s="104"/>
      <c r="EC271" s="104"/>
      <c r="ED271" s="104"/>
      <c r="EE271" s="104"/>
      <c r="EF271" s="104"/>
      <c r="EG271" s="104"/>
      <c r="EH271" s="104"/>
      <c r="EI271" s="104"/>
      <c r="EJ271" s="104"/>
      <c r="EK271" s="104"/>
      <c r="EL271" s="104"/>
      <c r="EM271" s="104"/>
      <c r="EN271" s="104"/>
      <c r="EO271" s="104"/>
      <c r="EP271" s="104"/>
      <c r="EQ271" s="104"/>
      <c r="ER271" s="104"/>
      <c r="ES271" s="104"/>
      <c r="ET271" s="104"/>
      <c r="EU271" s="104"/>
      <c r="EV271" s="104"/>
      <c r="EW271" s="104"/>
      <c r="EX271" s="104"/>
      <c r="EY271" s="104"/>
      <c r="EZ271" s="104"/>
      <c r="FA271" s="104"/>
      <c r="FB271" s="104"/>
      <c r="FC271" s="104"/>
      <c r="FD271" s="104"/>
      <c r="FE271" s="104"/>
      <c r="FF271" s="104"/>
      <c r="FG271" s="104"/>
      <c r="FH271" s="104"/>
      <c r="FI271" s="104"/>
      <c r="FJ271" s="104"/>
      <c r="FK271" s="104"/>
      <c r="FL271" s="104"/>
      <c r="FM271" s="104"/>
      <c r="FN271" s="104"/>
      <c r="FO271" s="104"/>
      <c r="FP271" s="104"/>
      <c r="FQ271" s="104"/>
      <c r="FR271" s="104"/>
      <c r="FS271" s="104"/>
      <c r="FT271" s="104"/>
      <c r="FU271" s="104"/>
      <c r="FV271" s="104"/>
      <c r="FW271" s="104"/>
      <c r="FX271" s="104"/>
      <c r="FY271" s="104"/>
      <c r="FZ271" s="104"/>
      <c r="GA271" s="104"/>
      <c r="GB271" s="104"/>
      <c r="GC271" s="104"/>
      <c r="GD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  <c r="HA271" s="104"/>
      <c r="HB271" s="104"/>
      <c r="HC271" s="104"/>
      <c r="HD271" s="104"/>
      <c r="HE271" s="104"/>
      <c r="HF271" s="104"/>
      <c r="HG271" s="104"/>
      <c r="HH271" s="104"/>
      <c r="HI271" s="104"/>
      <c r="HJ271" s="104"/>
      <c r="HK271" s="104"/>
      <c r="HL271" s="104"/>
      <c r="HM271" s="104"/>
      <c r="HN271" s="104"/>
      <c r="HO271" s="104"/>
      <c r="HP271" s="104"/>
      <c r="HQ271" s="104"/>
      <c r="HR271" s="104"/>
      <c r="HS271" s="104"/>
      <c r="HT271" s="104"/>
      <c r="HU271" s="104"/>
      <c r="HV271" s="104"/>
      <c r="HW271" s="104"/>
      <c r="HX271" s="104"/>
      <c r="HY271" s="104"/>
      <c r="HZ271" s="104"/>
      <c r="IA271" s="104"/>
      <c r="IB271" s="104"/>
      <c r="IC271" s="104"/>
      <c r="ID271" s="104"/>
      <c r="IE271" s="104"/>
      <c r="IF271" s="104"/>
      <c r="IG271" s="104"/>
      <c r="IH271" s="104"/>
      <c r="II271" s="104"/>
      <c r="IJ271" s="104"/>
      <c r="IK271" s="104"/>
      <c r="IL271" s="104"/>
      <c r="IM271" s="104"/>
      <c r="IN271" s="104"/>
      <c r="IO271" s="104"/>
      <c r="IP271" s="104"/>
      <c r="IQ271" s="104"/>
      <c r="IR271" s="104"/>
      <c r="IS271" s="104"/>
      <c r="IT271" s="104"/>
      <c r="IU271" s="104"/>
      <c r="IV271" s="104"/>
      <c r="IW271" s="104"/>
      <c r="IX271" s="104"/>
      <c r="IY271" s="104"/>
      <c r="IZ271" s="104"/>
      <c r="JA271" s="104"/>
    </row>
    <row r="272" spans="2:261" x14ac:dyDescent="0.2">
      <c r="B272" s="104"/>
      <c r="C272" s="104"/>
      <c r="D272" s="104"/>
      <c r="E272" s="104"/>
      <c r="F272" s="104"/>
      <c r="G272" s="104"/>
      <c r="H272" s="104"/>
      <c r="I272" s="104"/>
      <c r="J272" s="151"/>
      <c r="K272" s="104"/>
      <c r="L272" s="104"/>
      <c r="M272" s="104"/>
      <c r="N272" s="151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4"/>
      <c r="DB272" s="104"/>
      <c r="DC272" s="104"/>
      <c r="DD272" s="104"/>
      <c r="DE272" s="104"/>
      <c r="DF272" s="104"/>
      <c r="DG272" s="104"/>
      <c r="DH272" s="104"/>
      <c r="DI272" s="104"/>
      <c r="DJ272" s="104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104"/>
      <c r="DV272" s="104"/>
      <c r="DW272" s="104"/>
      <c r="DX272" s="104"/>
      <c r="DY272" s="104"/>
      <c r="DZ272" s="104"/>
      <c r="EA272" s="104"/>
      <c r="EB272" s="104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4"/>
      <c r="EP272" s="104"/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4"/>
      <c r="FA272" s="104"/>
      <c r="FB272" s="104"/>
      <c r="FC272" s="104"/>
      <c r="FD272" s="104"/>
      <c r="FE272" s="104"/>
      <c r="FF272" s="104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4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  <c r="HM272" s="104"/>
      <c r="HN272" s="104"/>
      <c r="HO272" s="104"/>
      <c r="HP272" s="104"/>
      <c r="HQ272" s="104"/>
      <c r="HR272" s="104"/>
      <c r="HS272" s="104"/>
      <c r="HT272" s="104"/>
      <c r="HU272" s="104"/>
      <c r="HV272" s="104"/>
      <c r="HW272" s="104"/>
      <c r="HX272" s="104"/>
      <c r="HY272" s="104"/>
      <c r="HZ272" s="104"/>
      <c r="IA272" s="104"/>
      <c r="IB272" s="104"/>
      <c r="IC272" s="104"/>
      <c r="ID272" s="104"/>
      <c r="IE272" s="104"/>
      <c r="IF272" s="104"/>
      <c r="IG272" s="104"/>
      <c r="IH272" s="104"/>
      <c r="II272" s="104"/>
      <c r="IJ272" s="104"/>
      <c r="IK272" s="104"/>
      <c r="IL272" s="104"/>
      <c r="IM272" s="104"/>
      <c r="IN272" s="104"/>
      <c r="IO272" s="104"/>
      <c r="IP272" s="104"/>
      <c r="IQ272" s="104"/>
      <c r="IR272" s="104"/>
      <c r="IS272" s="104"/>
      <c r="IT272" s="104"/>
      <c r="IU272" s="104"/>
      <c r="IV272" s="104"/>
      <c r="IW272" s="104"/>
      <c r="IX272" s="104"/>
      <c r="IY272" s="104"/>
      <c r="IZ272" s="104"/>
      <c r="JA272" s="104"/>
    </row>
    <row r="273" spans="2:261" x14ac:dyDescent="0.2">
      <c r="B273" s="104"/>
      <c r="C273" s="104"/>
      <c r="D273" s="104"/>
      <c r="E273" s="104"/>
      <c r="F273" s="104"/>
      <c r="G273" s="104"/>
      <c r="H273" s="104"/>
      <c r="I273" s="104"/>
      <c r="J273" s="151"/>
      <c r="K273" s="104"/>
      <c r="L273" s="104"/>
      <c r="M273" s="104"/>
      <c r="N273" s="151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O273" s="104"/>
      <c r="CP273" s="104"/>
      <c r="CQ273" s="104"/>
      <c r="CR273" s="104"/>
      <c r="CS273" s="104"/>
      <c r="CT273" s="104"/>
      <c r="CU273" s="104"/>
      <c r="CV273" s="104"/>
      <c r="CW273" s="104"/>
      <c r="CX273" s="104"/>
      <c r="CY273" s="104"/>
      <c r="CZ273" s="104"/>
      <c r="DA273" s="104"/>
      <c r="DB273" s="104"/>
      <c r="DC273" s="104"/>
      <c r="DD273" s="104"/>
      <c r="DE273" s="104"/>
      <c r="DF273" s="104"/>
      <c r="DG273" s="104"/>
      <c r="DH273" s="104"/>
      <c r="DI273" s="104"/>
      <c r="DJ273" s="104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104"/>
      <c r="DV273" s="104"/>
      <c r="DW273" s="104"/>
      <c r="DX273" s="104"/>
      <c r="DY273" s="104"/>
      <c r="DZ273" s="104"/>
      <c r="EA273" s="104"/>
      <c r="EB273" s="104"/>
      <c r="EC273" s="104"/>
      <c r="ED273" s="104"/>
      <c r="EE273" s="104"/>
      <c r="EF273" s="104"/>
      <c r="EG273" s="104"/>
      <c r="EH273" s="104"/>
      <c r="EI273" s="104"/>
      <c r="EJ273" s="104"/>
      <c r="EK273" s="104"/>
      <c r="EL273" s="104"/>
      <c r="EM273" s="104"/>
      <c r="EN273" s="104"/>
      <c r="EO273" s="104"/>
      <c r="EP273" s="104"/>
      <c r="EQ273" s="104"/>
      <c r="ER273" s="104"/>
      <c r="ES273" s="104"/>
      <c r="ET273" s="104"/>
      <c r="EU273" s="104"/>
      <c r="EV273" s="104"/>
      <c r="EW273" s="104"/>
      <c r="EX273" s="104"/>
      <c r="EY273" s="104"/>
      <c r="EZ273" s="104"/>
      <c r="FA273" s="104"/>
      <c r="FB273" s="104"/>
      <c r="FC273" s="104"/>
      <c r="FD273" s="104"/>
      <c r="FE273" s="104"/>
      <c r="FF273" s="104"/>
      <c r="FG273" s="104"/>
      <c r="FH273" s="104"/>
      <c r="FI273" s="104"/>
      <c r="FJ273" s="104"/>
      <c r="FK273" s="104"/>
      <c r="FL273" s="104"/>
      <c r="FM273" s="104"/>
      <c r="FN273" s="104"/>
      <c r="FO273" s="104"/>
      <c r="FP273" s="104"/>
      <c r="FQ273" s="104"/>
      <c r="FR273" s="104"/>
      <c r="FS273" s="104"/>
      <c r="FT273" s="104"/>
      <c r="FU273" s="104"/>
      <c r="FV273" s="104"/>
      <c r="FW273" s="104"/>
      <c r="FX273" s="104"/>
      <c r="FY273" s="104"/>
      <c r="FZ273" s="104"/>
      <c r="GA273" s="104"/>
      <c r="GB273" s="104"/>
      <c r="GC273" s="104"/>
      <c r="GD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  <c r="HA273" s="104"/>
      <c r="HB273" s="104"/>
      <c r="HC273" s="104"/>
      <c r="HD273" s="104"/>
      <c r="HE273" s="104"/>
      <c r="HF273" s="104"/>
      <c r="HG273" s="104"/>
      <c r="HH273" s="104"/>
      <c r="HI273" s="104"/>
      <c r="HJ273" s="104"/>
      <c r="HK273" s="104"/>
      <c r="HL273" s="104"/>
      <c r="HM273" s="104"/>
      <c r="HN273" s="104"/>
      <c r="HO273" s="104"/>
      <c r="HP273" s="104"/>
      <c r="HQ273" s="104"/>
      <c r="HR273" s="104"/>
      <c r="HS273" s="104"/>
      <c r="HT273" s="104"/>
      <c r="HU273" s="104"/>
      <c r="HV273" s="104"/>
      <c r="HW273" s="104"/>
      <c r="HX273" s="104"/>
      <c r="HY273" s="104"/>
      <c r="HZ273" s="104"/>
      <c r="IA273" s="104"/>
      <c r="IB273" s="104"/>
      <c r="IC273" s="104"/>
      <c r="ID273" s="104"/>
      <c r="IE273" s="104"/>
      <c r="IF273" s="104"/>
      <c r="IG273" s="104"/>
      <c r="IH273" s="104"/>
      <c r="II273" s="104"/>
      <c r="IJ273" s="104"/>
      <c r="IK273" s="104"/>
      <c r="IL273" s="104"/>
      <c r="IM273" s="104"/>
      <c r="IN273" s="104"/>
      <c r="IO273" s="104"/>
      <c r="IP273" s="104"/>
      <c r="IQ273" s="104"/>
      <c r="IR273" s="104"/>
      <c r="IS273" s="104"/>
      <c r="IT273" s="104"/>
      <c r="IU273" s="104"/>
      <c r="IV273" s="104"/>
      <c r="IW273" s="104"/>
      <c r="IX273" s="104"/>
      <c r="IY273" s="104"/>
      <c r="IZ273" s="104"/>
      <c r="JA273" s="104"/>
    </row>
    <row r="274" spans="2:261" x14ac:dyDescent="0.2">
      <c r="B274" s="104"/>
      <c r="C274" s="104"/>
      <c r="D274" s="104"/>
      <c r="E274" s="104"/>
      <c r="F274" s="104"/>
      <c r="G274" s="104"/>
      <c r="H274" s="104"/>
      <c r="I274" s="104"/>
      <c r="J274" s="151"/>
      <c r="K274" s="104"/>
      <c r="L274" s="104"/>
      <c r="M274" s="104"/>
      <c r="N274" s="151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  <c r="CH274" s="104"/>
      <c r="CI274" s="104"/>
      <c r="CJ274" s="104"/>
      <c r="CK274" s="104"/>
      <c r="CL274" s="104"/>
      <c r="CM274" s="104"/>
      <c r="CN274" s="104"/>
      <c r="CO274" s="104"/>
      <c r="CP274" s="104"/>
      <c r="CQ274" s="104"/>
      <c r="CR274" s="104"/>
      <c r="CS274" s="104"/>
      <c r="CT274" s="104"/>
      <c r="CU274" s="104"/>
      <c r="CV274" s="104"/>
      <c r="CW274" s="104"/>
      <c r="CX274" s="104"/>
      <c r="CY274" s="104"/>
      <c r="CZ274" s="104"/>
      <c r="DA274" s="104"/>
      <c r="DB274" s="104"/>
      <c r="DC274" s="104"/>
      <c r="DD274" s="104"/>
      <c r="DE274" s="104"/>
      <c r="DF274" s="104"/>
      <c r="DG274" s="104"/>
      <c r="DH274" s="104"/>
      <c r="DI274" s="104"/>
      <c r="DJ274" s="104"/>
      <c r="DK274" s="104"/>
      <c r="DL274" s="104"/>
      <c r="DM274" s="104"/>
      <c r="DN274" s="104"/>
      <c r="DO274" s="104"/>
      <c r="DP274" s="104"/>
      <c r="DQ274" s="104"/>
      <c r="DR274" s="104"/>
      <c r="DS274" s="104"/>
      <c r="DT274" s="104"/>
      <c r="DU274" s="104"/>
      <c r="DV274" s="104"/>
      <c r="DW274" s="104"/>
      <c r="DX274" s="104"/>
      <c r="DY274" s="104"/>
      <c r="DZ274" s="104"/>
      <c r="EA274" s="104"/>
      <c r="EB274" s="104"/>
      <c r="EC274" s="104"/>
      <c r="ED274" s="104"/>
      <c r="EE274" s="104"/>
      <c r="EF274" s="104"/>
      <c r="EG274" s="104"/>
      <c r="EH274" s="104"/>
      <c r="EI274" s="104"/>
      <c r="EJ274" s="104"/>
      <c r="EK274" s="104"/>
      <c r="EL274" s="104"/>
      <c r="EM274" s="104"/>
      <c r="EN274" s="104"/>
      <c r="EO274" s="104"/>
      <c r="EP274" s="104"/>
      <c r="EQ274" s="104"/>
      <c r="ER274" s="104"/>
      <c r="ES274" s="104"/>
      <c r="ET274" s="104"/>
      <c r="EU274" s="104"/>
      <c r="EV274" s="104"/>
      <c r="EW274" s="104"/>
      <c r="EX274" s="104"/>
      <c r="EY274" s="104"/>
      <c r="EZ274" s="104"/>
      <c r="FA274" s="104"/>
      <c r="FB274" s="104"/>
      <c r="FC274" s="104"/>
      <c r="FD274" s="104"/>
      <c r="FE274" s="104"/>
      <c r="FF274" s="104"/>
      <c r="FG274" s="104"/>
      <c r="FH274" s="104"/>
      <c r="FI274" s="104"/>
      <c r="FJ274" s="104"/>
      <c r="FK274" s="104"/>
      <c r="FL274" s="104"/>
      <c r="FM274" s="104"/>
      <c r="FN274" s="104"/>
      <c r="FO274" s="104"/>
      <c r="FP274" s="104"/>
      <c r="FQ274" s="104"/>
      <c r="FR274" s="104"/>
      <c r="FS274" s="104"/>
      <c r="FT274" s="104"/>
      <c r="FU274" s="104"/>
      <c r="FV274" s="104"/>
      <c r="FW274" s="104"/>
      <c r="FX274" s="104"/>
      <c r="FY274" s="104"/>
      <c r="FZ274" s="104"/>
      <c r="GA274" s="104"/>
      <c r="GB274" s="104"/>
      <c r="GC274" s="104"/>
      <c r="GD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  <c r="HA274" s="104"/>
      <c r="HB274" s="104"/>
      <c r="HC274" s="104"/>
      <c r="HD274" s="104"/>
      <c r="HE274" s="104"/>
      <c r="HF274" s="104"/>
      <c r="HG274" s="104"/>
      <c r="HH274" s="104"/>
      <c r="HI274" s="104"/>
      <c r="HJ274" s="104"/>
      <c r="HK274" s="104"/>
      <c r="HL274" s="104"/>
      <c r="HM274" s="104"/>
      <c r="HN274" s="104"/>
      <c r="HO274" s="104"/>
      <c r="HP274" s="104"/>
      <c r="HQ274" s="104"/>
      <c r="HR274" s="104"/>
      <c r="HS274" s="104"/>
      <c r="HT274" s="104"/>
      <c r="HU274" s="104"/>
      <c r="HV274" s="104"/>
      <c r="HW274" s="104"/>
      <c r="HX274" s="104"/>
      <c r="HY274" s="104"/>
      <c r="HZ274" s="104"/>
      <c r="IA274" s="104"/>
      <c r="IB274" s="104"/>
      <c r="IC274" s="104"/>
      <c r="ID274" s="104"/>
      <c r="IE274" s="104"/>
      <c r="IF274" s="104"/>
      <c r="IG274" s="104"/>
      <c r="IH274" s="104"/>
      <c r="II274" s="104"/>
      <c r="IJ274" s="104"/>
      <c r="IK274" s="104"/>
      <c r="IL274" s="104"/>
      <c r="IM274" s="104"/>
      <c r="IN274" s="104"/>
      <c r="IO274" s="104"/>
      <c r="IP274" s="104"/>
      <c r="IQ274" s="104"/>
      <c r="IR274" s="104"/>
      <c r="IS274" s="104"/>
      <c r="IT274" s="104"/>
      <c r="IU274" s="104"/>
      <c r="IV274" s="104"/>
      <c r="IW274" s="104"/>
      <c r="IX274" s="104"/>
      <c r="IY274" s="104"/>
      <c r="IZ274" s="104"/>
      <c r="JA274" s="104"/>
    </row>
    <row r="275" spans="2:261" x14ac:dyDescent="0.2">
      <c r="B275" s="104"/>
      <c r="C275" s="104"/>
      <c r="D275" s="104"/>
      <c r="E275" s="104"/>
      <c r="F275" s="104"/>
      <c r="G275" s="104"/>
      <c r="H275" s="104"/>
      <c r="I275" s="104"/>
      <c r="J275" s="151"/>
      <c r="K275" s="104"/>
      <c r="L275" s="104"/>
      <c r="M275" s="104"/>
      <c r="N275" s="151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  <c r="CH275" s="104"/>
      <c r="CI275" s="104"/>
      <c r="CJ275" s="104"/>
      <c r="CK275" s="104"/>
      <c r="CL275" s="104"/>
      <c r="CM275" s="104"/>
      <c r="CN275" s="104"/>
      <c r="CO275" s="104"/>
      <c r="CP275" s="104"/>
      <c r="CQ275" s="104"/>
      <c r="CR275" s="104"/>
      <c r="CS275" s="104"/>
      <c r="CT275" s="104"/>
      <c r="CU275" s="104"/>
      <c r="CV275" s="104"/>
      <c r="CW275" s="104"/>
      <c r="CX275" s="104"/>
      <c r="CY275" s="104"/>
      <c r="CZ275" s="104"/>
      <c r="DA275" s="104"/>
      <c r="DB275" s="104"/>
      <c r="DC275" s="104"/>
      <c r="DD275" s="104"/>
      <c r="DE275" s="104"/>
      <c r="DF275" s="104"/>
      <c r="DG275" s="104"/>
      <c r="DH275" s="104"/>
      <c r="DI275" s="104"/>
      <c r="DJ275" s="104"/>
      <c r="DK275" s="104"/>
      <c r="DL275" s="104"/>
      <c r="DM275" s="104"/>
      <c r="DN275" s="104"/>
      <c r="DO275" s="104"/>
      <c r="DP275" s="104"/>
      <c r="DQ275" s="104"/>
      <c r="DR275" s="104"/>
      <c r="DS275" s="104"/>
      <c r="DT275" s="104"/>
      <c r="DU275" s="104"/>
      <c r="DV275" s="104"/>
      <c r="DW275" s="104"/>
      <c r="DX275" s="104"/>
      <c r="DY275" s="104"/>
      <c r="DZ275" s="104"/>
      <c r="EA275" s="104"/>
      <c r="EB275" s="104"/>
      <c r="EC275" s="104"/>
      <c r="ED275" s="104"/>
      <c r="EE275" s="104"/>
      <c r="EF275" s="104"/>
      <c r="EG275" s="104"/>
      <c r="EH275" s="104"/>
      <c r="EI275" s="104"/>
      <c r="EJ275" s="104"/>
      <c r="EK275" s="104"/>
      <c r="EL275" s="104"/>
      <c r="EM275" s="104"/>
      <c r="EN275" s="104"/>
      <c r="EO275" s="104"/>
      <c r="EP275" s="104"/>
      <c r="EQ275" s="104"/>
      <c r="ER275" s="104"/>
      <c r="ES275" s="104"/>
      <c r="ET275" s="104"/>
      <c r="EU275" s="104"/>
      <c r="EV275" s="104"/>
      <c r="EW275" s="104"/>
      <c r="EX275" s="104"/>
      <c r="EY275" s="104"/>
      <c r="EZ275" s="104"/>
      <c r="FA275" s="104"/>
      <c r="FB275" s="104"/>
      <c r="FC275" s="104"/>
      <c r="FD275" s="104"/>
      <c r="FE275" s="104"/>
      <c r="FF275" s="104"/>
      <c r="FG275" s="104"/>
      <c r="FH275" s="104"/>
      <c r="FI275" s="104"/>
      <c r="FJ275" s="104"/>
      <c r="FK275" s="104"/>
      <c r="FL275" s="104"/>
      <c r="FM275" s="104"/>
      <c r="FN275" s="104"/>
      <c r="FO275" s="104"/>
      <c r="FP275" s="104"/>
      <c r="FQ275" s="104"/>
      <c r="FR275" s="104"/>
      <c r="FS275" s="104"/>
      <c r="FT275" s="104"/>
      <c r="FU275" s="104"/>
      <c r="FV275" s="104"/>
      <c r="FW275" s="104"/>
      <c r="FX275" s="104"/>
      <c r="FY275" s="104"/>
      <c r="FZ275" s="104"/>
      <c r="GA275" s="104"/>
      <c r="GB275" s="104"/>
      <c r="GC275" s="104"/>
      <c r="GD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  <c r="HA275" s="104"/>
      <c r="HB275" s="104"/>
      <c r="HC275" s="104"/>
      <c r="HD275" s="104"/>
      <c r="HE275" s="104"/>
      <c r="HF275" s="104"/>
      <c r="HG275" s="104"/>
      <c r="HH275" s="104"/>
      <c r="HI275" s="104"/>
      <c r="HJ275" s="104"/>
      <c r="HK275" s="104"/>
      <c r="HL275" s="104"/>
      <c r="HM275" s="104"/>
      <c r="HN275" s="104"/>
      <c r="HO275" s="104"/>
      <c r="HP275" s="104"/>
      <c r="HQ275" s="104"/>
      <c r="HR275" s="104"/>
      <c r="HS275" s="104"/>
      <c r="HT275" s="104"/>
      <c r="HU275" s="104"/>
      <c r="HV275" s="104"/>
      <c r="HW275" s="104"/>
      <c r="HX275" s="104"/>
      <c r="HY275" s="104"/>
      <c r="HZ275" s="104"/>
      <c r="IA275" s="104"/>
      <c r="IB275" s="104"/>
      <c r="IC275" s="104"/>
      <c r="ID275" s="104"/>
      <c r="IE275" s="104"/>
      <c r="IF275" s="104"/>
      <c r="IG275" s="104"/>
      <c r="IH275" s="104"/>
      <c r="II275" s="104"/>
      <c r="IJ275" s="104"/>
      <c r="IK275" s="104"/>
      <c r="IL275" s="104"/>
      <c r="IM275" s="104"/>
      <c r="IN275" s="104"/>
      <c r="IO275" s="104"/>
      <c r="IP275" s="104"/>
      <c r="IQ275" s="104"/>
      <c r="IR275" s="104"/>
      <c r="IS275" s="104"/>
      <c r="IT275" s="104"/>
      <c r="IU275" s="104"/>
      <c r="IV275" s="104"/>
      <c r="IW275" s="104"/>
      <c r="IX275" s="104"/>
      <c r="IY275" s="104"/>
      <c r="IZ275" s="104"/>
      <c r="JA275" s="104"/>
    </row>
    <row r="276" spans="2:261" x14ac:dyDescent="0.2">
      <c r="B276" s="104"/>
      <c r="C276" s="104"/>
      <c r="D276" s="104"/>
      <c r="E276" s="104"/>
      <c r="F276" s="104"/>
      <c r="G276" s="104"/>
      <c r="H276" s="104"/>
      <c r="I276" s="104"/>
      <c r="J276" s="151"/>
      <c r="K276" s="104"/>
      <c r="L276" s="104"/>
      <c r="M276" s="104"/>
      <c r="N276" s="151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  <c r="CH276" s="104"/>
      <c r="CI276" s="104"/>
      <c r="CJ276" s="104"/>
      <c r="CK276" s="104"/>
      <c r="CL276" s="104"/>
      <c r="CM276" s="104"/>
      <c r="CN276" s="104"/>
      <c r="CO276" s="104"/>
      <c r="CP276" s="104"/>
      <c r="CQ276" s="104"/>
      <c r="CR276" s="104"/>
      <c r="CS276" s="104"/>
      <c r="CT276" s="104"/>
      <c r="CU276" s="104"/>
      <c r="CV276" s="104"/>
      <c r="CW276" s="104"/>
      <c r="CX276" s="104"/>
      <c r="CY276" s="104"/>
      <c r="CZ276" s="104"/>
      <c r="DA276" s="104"/>
      <c r="DB276" s="104"/>
      <c r="DC276" s="104"/>
      <c r="DD276" s="104"/>
      <c r="DE276" s="104"/>
      <c r="DF276" s="104"/>
      <c r="DG276" s="104"/>
      <c r="DH276" s="104"/>
      <c r="DI276" s="104"/>
      <c r="DJ276" s="104"/>
      <c r="DK276" s="104"/>
      <c r="DL276" s="104"/>
      <c r="DM276" s="104"/>
      <c r="DN276" s="104"/>
      <c r="DO276" s="104"/>
      <c r="DP276" s="104"/>
      <c r="DQ276" s="104"/>
      <c r="DR276" s="104"/>
      <c r="DS276" s="104"/>
      <c r="DT276" s="104"/>
      <c r="DU276" s="104"/>
      <c r="DV276" s="104"/>
      <c r="DW276" s="104"/>
      <c r="DX276" s="104"/>
      <c r="DY276" s="104"/>
      <c r="DZ276" s="104"/>
      <c r="EA276" s="104"/>
      <c r="EB276" s="104"/>
      <c r="EC276" s="104"/>
      <c r="ED276" s="104"/>
      <c r="EE276" s="104"/>
      <c r="EF276" s="104"/>
      <c r="EG276" s="104"/>
      <c r="EH276" s="104"/>
      <c r="EI276" s="104"/>
      <c r="EJ276" s="104"/>
      <c r="EK276" s="104"/>
      <c r="EL276" s="104"/>
      <c r="EM276" s="104"/>
      <c r="EN276" s="104"/>
      <c r="EO276" s="104"/>
      <c r="EP276" s="104"/>
      <c r="EQ276" s="104"/>
      <c r="ER276" s="104"/>
      <c r="ES276" s="104"/>
      <c r="ET276" s="104"/>
      <c r="EU276" s="104"/>
      <c r="EV276" s="104"/>
      <c r="EW276" s="104"/>
      <c r="EX276" s="104"/>
      <c r="EY276" s="104"/>
      <c r="EZ276" s="104"/>
      <c r="FA276" s="104"/>
      <c r="FB276" s="104"/>
      <c r="FC276" s="104"/>
      <c r="FD276" s="104"/>
      <c r="FE276" s="104"/>
      <c r="FF276" s="104"/>
      <c r="FG276" s="104"/>
      <c r="FH276" s="104"/>
      <c r="FI276" s="104"/>
      <c r="FJ276" s="104"/>
      <c r="FK276" s="104"/>
      <c r="FL276" s="104"/>
      <c r="FM276" s="104"/>
      <c r="FN276" s="104"/>
      <c r="FO276" s="104"/>
      <c r="FP276" s="104"/>
      <c r="FQ276" s="104"/>
      <c r="FR276" s="104"/>
      <c r="FS276" s="104"/>
      <c r="FT276" s="104"/>
      <c r="FU276" s="104"/>
      <c r="FV276" s="104"/>
      <c r="FW276" s="104"/>
      <c r="FX276" s="104"/>
      <c r="FY276" s="104"/>
      <c r="FZ276" s="104"/>
      <c r="GA276" s="104"/>
      <c r="GB276" s="104"/>
      <c r="GC276" s="104"/>
      <c r="GD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  <c r="HA276" s="104"/>
      <c r="HB276" s="104"/>
      <c r="HC276" s="104"/>
      <c r="HD276" s="104"/>
      <c r="HE276" s="104"/>
      <c r="HF276" s="104"/>
      <c r="HG276" s="104"/>
      <c r="HH276" s="104"/>
      <c r="HI276" s="104"/>
      <c r="HJ276" s="104"/>
      <c r="HK276" s="104"/>
      <c r="HL276" s="104"/>
      <c r="HM276" s="104"/>
      <c r="HN276" s="104"/>
      <c r="HO276" s="104"/>
      <c r="HP276" s="104"/>
      <c r="HQ276" s="104"/>
      <c r="HR276" s="104"/>
      <c r="HS276" s="104"/>
      <c r="HT276" s="104"/>
      <c r="HU276" s="104"/>
      <c r="HV276" s="104"/>
      <c r="HW276" s="104"/>
      <c r="HX276" s="104"/>
      <c r="HY276" s="104"/>
      <c r="HZ276" s="104"/>
      <c r="IA276" s="104"/>
      <c r="IB276" s="104"/>
      <c r="IC276" s="104"/>
      <c r="ID276" s="104"/>
      <c r="IE276" s="104"/>
      <c r="IF276" s="104"/>
      <c r="IG276" s="104"/>
      <c r="IH276" s="104"/>
      <c r="II276" s="104"/>
      <c r="IJ276" s="104"/>
      <c r="IK276" s="104"/>
      <c r="IL276" s="104"/>
      <c r="IM276" s="104"/>
      <c r="IN276" s="104"/>
      <c r="IO276" s="104"/>
      <c r="IP276" s="104"/>
      <c r="IQ276" s="104"/>
      <c r="IR276" s="104"/>
      <c r="IS276" s="104"/>
      <c r="IT276" s="104"/>
      <c r="IU276" s="104"/>
      <c r="IV276" s="104"/>
      <c r="IW276" s="104"/>
      <c r="IX276" s="104"/>
      <c r="IY276" s="104"/>
      <c r="IZ276" s="104"/>
      <c r="JA276" s="104"/>
    </row>
    <row r="277" spans="2:261" x14ac:dyDescent="0.2">
      <c r="B277" s="104"/>
      <c r="C277" s="104"/>
      <c r="D277" s="104"/>
      <c r="E277" s="104"/>
      <c r="F277" s="104"/>
      <c r="G277" s="104"/>
      <c r="H277" s="104"/>
      <c r="I277" s="104"/>
      <c r="J277" s="151"/>
      <c r="K277" s="104"/>
      <c r="L277" s="104"/>
      <c r="M277" s="104"/>
      <c r="N277" s="151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4"/>
      <c r="DB277" s="104"/>
      <c r="DC277" s="104"/>
      <c r="DD277" s="104"/>
      <c r="DE277" s="104"/>
      <c r="DF277" s="104"/>
      <c r="DG277" s="104"/>
      <c r="DH277" s="104"/>
      <c r="DI277" s="104"/>
      <c r="DJ277" s="104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104"/>
      <c r="DV277" s="104"/>
      <c r="DW277" s="104"/>
      <c r="DX277" s="104"/>
      <c r="DY277" s="104"/>
      <c r="DZ277" s="104"/>
      <c r="EA277" s="104"/>
      <c r="EB277" s="104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4"/>
      <c r="EP277" s="104"/>
      <c r="EQ277" s="104"/>
      <c r="ER277" s="104"/>
      <c r="ES277" s="104"/>
      <c r="ET277" s="104"/>
      <c r="EU277" s="104"/>
      <c r="EV277" s="104"/>
      <c r="EW277" s="104"/>
      <c r="EX277" s="104"/>
      <c r="EY277" s="104"/>
      <c r="EZ277" s="104"/>
      <c r="FA277" s="104"/>
      <c r="FB277" s="104"/>
      <c r="FC277" s="104"/>
      <c r="FD277" s="104"/>
      <c r="FE277" s="104"/>
      <c r="FF277" s="104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4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  <c r="HO277" s="104"/>
      <c r="HP277" s="104"/>
      <c r="HQ277" s="104"/>
      <c r="HR277" s="104"/>
      <c r="HS277" s="104"/>
      <c r="HT277" s="104"/>
      <c r="HU277" s="104"/>
      <c r="HV277" s="104"/>
      <c r="HW277" s="104"/>
      <c r="HX277" s="104"/>
      <c r="HY277" s="104"/>
      <c r="HZ277" s="104"/>
      <c r="IA277" s="104"/>
      <c r="IB277" s="104"/>
      <c r="IC277" s="104"/>
      <c r="ID277" s="104"/>
      <c r="IE277" s="104"/>
      <c r="IF277" s="104"/>
      <c r="IG277" s="104"/>
      <c r="IH277" s="104"/>
      <c r="II277" s="104"/>
      <c r="IJ277" s="104"/>
      <c r="IK277" s="104"/>
      <c r="IL277" s="104"/>
      <c r="IM277" s="104"/>
      <c r="IN277" s="104"/>
      <c r="IO277" s="104"/>
      <c r="IP277" s="104"/>
      <c r="IQ277" s="104"/>
      <c r="IR277" s="104"/>
      <c r="IS277" s="104"/>
      <c r="IT277" s="104"/>
      <c r="IU277" s="104"/>
      <c r="IV277" s="104"/>
      <c r="IW277" s="104"/>
      <c r="IX277" s="104"/>
      <c r="IY277" s="104"/>
      <c r="IZ277" s="104"/>
      <c r="JA277" s="104"/>
    </row>
    <row r="278" spans="2:261" x14ac:dyDescent="0.2">
      <c r="B278" s="104"/>
      <c r="C278" s="104"/>
      <c r="D278" s="104"/>
      <c r="E278" s="104"/>
      <c r="F278" s="104"/>
      <c r="G278" s="104"/>
      <c r="H278" s="104"/>
      <c r="I278" s="104"/>
      <c r="J278" s="151"/>
      <c r="K278" s="104"/>
      <c r="L278" s="104"/>
      <c r="M278" s="104"/>
      <c r="N278" s="151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  <c r="CH278" s="104"/>
      <c r="CI278" s="104"/>
      <c r="CJ278" s="104"/>
      <c r="CK278" s="104"/>
      <c r="CL278" s="104"/>
      <c r="CM278" s="104"/>
      <c r="CN278" s="104"/>
      <c r="CO278" s="104"/>
      <c r="CP278" s="104"/>
      <c r="CQ278" s="104"/>
      <c r="CR278" s="104"/>
      <c r="CS278" s="104"/>
      <c r="CT278" s="104"/>
      <c r="CU278" s="104"/>
      <c r="CV278" s="104"/>
      <c r="CW278" s="104"/>
      <c r="CX278" s="104"/>
      <c r="CY278" s="104"/>
      <c r="CZ278" s="104"/>
      <c r="DA278" s="104"/>
      <c r="DB278" s="104"/>
      <c r="DC278" s="104"/>
      <c r="DD278" s="104"/>
      <c r="DE278" s="104"/>
      <c r="DF278" s="104"/>
      <c r="DG278" s="104"/>
      <c r="DH278" s="104"/>
      <c r="DI278" s="104"/>
      <c r="DJ278" s="104"/>
      <c r="DK278" s="104"/>
      <c r="DL278" s="104"/>
      <c r="DM278" s="104"/>
      <c r="DN278" s="104"/>
      <c r="DO278" s="104"/>
      <c r="DP278" s="104"/>
      <c r="DQ278" s="104"/>
      <c r="DR278" s="104"/>
      <c r="DS278" s="104"/>
      <c r="DT278" s="104"/>
      <c r="DU278" s="104"/>
      <c r="DV278" s="104"/>
      <c r="DW278" s="104"/>
      <c r="DX278" s="104"/>
      <c r="DY278" s="104"/>
      <c r="DZ278" s="104"/>
      <c r="EA278" s="104"/>
      <c r="EB278" s="104"/>
      <c r="EC278" s="104"/>
      <c r="ED278" s="104"/>
      <c r="EE278" s="104"/>
      <c r="EF278" s="104"/>
      <c r="EG278" s="104"/>
      <c r="EH278" s="104"/>
      <c r="EI278" s="104"/>
      <c r="EJ278" s="104"/>
      <c r="EK278" s="104"/>
      <c r="EL278" s="104"/>
      <c r="EM278" s="104"/>
      <c r="EN278" s="104"/>
      <c r="EO278" s="104"/>
      <c r="EP278" s="104"/>
      <c r="EQ278" s="104"/>
      <c r="ER278" s="104"/>
      <c r="ES278" s="104"/>
      <c r="ET278" s="104"/>
      <c r="EU278" s="104"/>
      <c r="EV278" s="104"/>
      <c r="EW278" s="104"/>
      <c r="EX278" s="104"/>
      <c r="EY278" s="104"/>
      <c r="EZ278" s="104"/>
      <c r="FA278" s="104"/>
      <c r="FB278" s="104"/>
      <c r="FC278" s="104"/>
      <c r="FD278" s="104"/>
      <c r="FE278" s="104"/>
      <c r="FF278" s="104"/>
      <c r="FG278" s="104"/>
      <c r="FH278" s="104"/>
      <c r="FI278" s="104"/>
      <c r="FJ278" s="104"/>
      <c r="FK278" s="104"/>
      <c r="FL278" s="104"/>
      <c r="FM278" s="104"/>
      <c r="FN278" s="104"/>
      <c r="FO278" s="104"/>
      <c r="FP278" s="104"/>
      <c r="FQ278" s="104"/>
      <c r="FR278" s="104"/>
      <c r="FS278" s="104"/>
      <c r="FT278" s="104"/>
      <c r="FU278" s="104"/>
      <c r="FV278" s="104"/>
      <c r="FW278" s="104"/>
      <c r="FX278" s="104"/>
      <c r="FY278" s="104"/>
      <c r="FZ278" s="104"/>
      <c r="GA278" s="104"/>
      <c r="GB278" s="104"/>
      <c r="GC278" s="104"/>
      <c r="GD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  <c r="HA278" s="104"/>
      <c r="HB278" s="104"/>
      <c r="HC278" s="104"/>
      <c r="HD278" s="104"/>
      <c r="HE278" s="104"/>
      <c r="HF278" s="104"/>
      <c r="HG278" s="104"/>
      <c r="HH278" s="104"/>
      <c r="HI278" s="104"/>
      <c r="HJ278" s="104"/>
      <c r="HK278" s="104"/>
      <c r="HL278" s="104"/>
      <c r="HM278" s="104"/>
      <c r="HN278" s="104"/>
      <c r="HO278" s="104"/>
      <c r="HP278" s="104"/>
      <c r="HQ278" s="104"/>
      <c r="HR278" s="104"/>
      <c r="HS278" s="104"/>
      <c r="HT278" s="104"/>
      <c r="HU278" s="104"/>
      <c r="HV278" s="104"/>
      <c r="HW278" s="104"/>
      <c r="HX278" s="104"/>
      <c r="HY278" s="104"/>
      <c r="HZ278" s="104"/>
      <c r="IA278" s="104"/>
      <c r="IB278" s="104"/>
      <c r="IC278" s="104"/>
      <c r="ID278" s="104"/>
      <c r="IE278" s="104"/>
      <c r="IF278" s="104"/>
      <c r="IG278" s="104"/>
      <c r="IH278" s="104"/>
      <c r="II278" s="104"/>
      <c r="IJ278" s="104"/>
      <c r="IK278" s="104"/>
      <c r="IL278" s="104"/>
      <c r="IM278" s="104"/>
      <c r="IN278" s="104"/>
      <c r="IO278" s="104"/>
      <c r="IP278" s="104"/>
      <c r="IQ278" s="104"/>
      <c r="IR278" s="104"/>
      <c r="IS278" s="104"/>
      <c r="IT278" s="104"/>
      <c r="IU278" s="104"/>
      <c r="IV278" s="104"/>
      <c r="IW278" s="104"/>
      <c r="IX278" s="104"/>
      <c r="IY278" s="104"/>
      <c r="IZ278" s="104"/>
      <c r="JA278" s="104"/>
    </row>
    <row r="279" spans="2:261" x14ac:dyDescent="0.2">
      <c r="B279" s="104"/>
      <c r="C279" s="104"/>
      <c r="D279" s="104"/>
      <c r="E279" s="104"/>
      <c r="F279" s="104"/>
      <c r="G279" s="104"/>
      <c r="H279" s="104"/>
      <c r="I279" s="104"/>
      <c r="J279" s="151"/>
      <c r="K279" s="104"/>
      <c r="L279" s="104"/>
      <c r="M279" s="104"/>
      <c r="N279" s="151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  <c r="CH279" s="104"/>
      <c r="CI279" s="104"/>
      <c r="CJ279" s="104"/>
      <c r="CK279" s="104"/>
      <c r="CL279" s="104"/>
      <c r="CM279" s="104"/>
      <c r="CN279" s="104"/>
      <c r="CO279" s="104"/>
      <c r="CP279" s="104"/>
      <c r="CQ279" s="104"/>
      <c r="CR279" s="104"/>
      <c r="CS279" s="104"/>
      <c r="CT279" s="104"/>
      <c r="CU279" s="104"/>
      <c r="CV279" s="104"/>
      <c r="CW279" s="104"/>
      <c r="CX279" s="104"/>
      <c r="CY279" s="104"/>
      <c r="CZ279" s="104"/>
      <c r="DA279" s="104"/>
      <c r="DB279" s="104"/>
      <c r="DC279" s="104"/>
      <c r="DD279" s="104"/>
      <c r="DE279" s="104"/>
      <c r="DF279" s="104"/>
      <c r="DG279" s="104"/>
      <c r="DH279" s="104"/>
      <c r="DI279" s="104"/>
      <c r="DJ279" s="104"/>
      <c r="DK279" s="104"/>
      <c r="DL279" s="104"/>
      <c r="DM279" s="104"/>
      <c r="DN279" s="104"/>
      <c r="DO279" s="104"/>
      <c r="DP279" s="104"/>
      <c r="DQ279" s="104"/>
      <c r="DR279" s="104"/>
      <c r="DS279" s="104"/>
      <c r="DT279" s="104"/>
      <c r="DU279" s="104"/>
      <c r="DV279" s="104"/>
      <c r="DW279" s="104"/>
      <c r="DX279" s="104"/>
      <c r="DY279" s="104"/>
      <c r="DZ279" s="104"/>
      <c r="EA279" s="104"/>
      <c r="EB279" s="104"/>
      <c r="EC279" s="104"/>
      <c r="ED279" s="104"/>
      <c r="EE279" s="104"/>
      <c r="EF279" s="104"/>
      <c r="EG279" s="104"/>
      <c r="EH279" s="104"/>
      <c r="EI279" s="104"/>
      <c r="EJ279" s="104"/>
      <c r="EK279" s="104"/>
      <c r="EL279" s="104"/>
      <c r="EM279" s="104"/>
      <c r="EN279" s="104"/>
      <c r="EO279" s="104"/>
      <c r="EP279" s="104"/>
      <c r="EQ279" s="104"/>
      <c r="ER279" s="104"/>
      <c r="ES279" s="104"/>
      <c r="ET279" s="104"/>
      <c r="EU279" s="104"/>
      <c r="EV279" s="104"/>
      <c r="EW279" s="104"/>
      <c r="EX279" s="104"/>
      <c r="EY279" s="104"/>
      <c r="EZ279" s="104"/>
      <c r="FA279" s="104"/>
      <c r="FB279" s="104"/>
      <c r="FC279" s="104"/>
      <c r="FD279" s="104"/>
      <c r="FE279" s="104"/>
      <c r="FF279" s="104"/>
      <c r="FG279" s="104"/>
      <c r="FH279" s="104"/>
      <c r="FI279" s="104"/>
      <c r="FJ279" s="104"/>
      <c r="FK279" s="104"/>
      <c r="FL279" s="104"/>
      <c r="FM279" s="104"/>
      <c r="FN279" s="104"/>
      <c r="FO279" s="104"/>
      <c r="FP279" s="104"/>
      <c r="FQ279" s="104"/>
      <c r="FR279" s="104"/>
      <c r="FS279" s="104"/>
      <c r="FT279" s="104"/>
      <c r="FU279" s="104"/>
      <c r="FV279" s="104"/>
      <c r="FW279" s="104"/>
      <c r="FX279" s="104"/>
      <c r="FY279" s="104"/>
      <c r="FZ279" s="104"/>
      <c r="GA279" s="104"/>
      <c r="GB279" s="104"/>
      <c r="GC279" s="104"/>
      <c r="GD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  <c r="HA279" s="104"/>
      <c r="HB279" s="104"/>
      <c r="HC279" s="104"/>
      <c r="HD279" s="104"/>
      <c r="HE279" s="104"/>
      <c r="HF279" s="104"/>
      <c r="HG279" s="104"/>
      <c r="HH279" s="104"/>
      <c r="HI279" s="104"/>
      <c r="HJ279" s="104"/>
      <c r="HK279" s="104"/>
      <c r="HL279" s="104"/>
      <c r="HM279" s="104"/>
      <c r="HN279" s="104"/>
      <c r="HO279" s="104"/>
      <c r="HP279" s="104"/>
      <c r="HQ279" s="104"/>
      <c r="HR279" s="104"/>
      <c r="HS279" s="104"/>
      <c r="HT279" s="104"/>
      <c r="HU279" s="104"/>
      <c r="HV279" s="104"/>
      <c r="HW279" s="104"/>
      <c r="HX279" s="104"/>
      <c r="HY279" s="104"/>
      <c r="HZ279" s="104"/>
      <c r="IA279" s="104"/>
      <c r="IB279" s="104"/>
      <c r="IC279" s="104"/>
      <c r="ID279" s="104"/>
      <c r="IE279" s="104"/>
      <c r="IF279" s="104"/>
      <c r="IG279" s="104"/>
      <c r="IH279" s="104"/>
      <c r="II279" s="104"/>
      <c r="IJ279" s="104"/>
      <c r="IK279" s="104"/>
      <c r="IL279" s="104"/>
      <c r="IM279" s="104"/>
      <c r="IN279" s="104"/>
      <c r="IO279" s="104"/>
      <c r="IP279" s="104"/>
      <c r="IQ279" s="104"/>
      <c r="IR279" s="104"/>
      <c r="IS279" s="104"/>
      <c r="IT279" s="104"/>
      <c r="IU279" s="104"/>
      <c r="IV279" s="104"/>
      <c r="IW279" s="104"/>
      <c r="IX279" s="104"/>
      <c r="IY279" s="104"/>
      <c r="IZ279" s="104"/>
      <c r="JA279" s="104"/>
    </row>
    <row r="280" spans="2:261" x14ac:dyDescent="0.2">
      <c r="B280" s="104"/>
      <c r="C280" s="104"/>
      <c r="D280" s="104"/>
      <c r="E280" s="104"/>
      <c r="F280" s="104"/>
      <c r="G280" s="104"/>
      <c r="H280" s="104"/>
      <c r="I280" s="104"/>
      <c r="J280" s="151"/>
      <c r="K280" s="104"/>
      <c r="L280" s="104"/>
      <c r="M280" s="104"/>
      <c r="N280" s="151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  <c r="CH280" s="104"/>
      <c r="CI280" s="104"/>
      <c r="CJ280" s="104"/>
      <c r="CK280" s="104"/>
      <c r="CL280" s="104"/>
      <c r="CM280" s="104"/>
      <c r="CN280" s="104"/>
      <c r="CO280" s="104"/>
      <c r="CP280" s="104"/>
      <c r="CQ280" s="104"/>
      <c r="CR280" s="104"/>
      <c r="CS280" s="104"/>
      <c r="CT280" s="104"/>
      <c r="CU280" s="104"/>
      <c r="CV280" s="104"/>
      <c r="CW280" s="104"/>
      <c r="CX280" s="104"/>
      <c r="CY280" s="104"/>
      <c r="CZ280" s="104"/>
      <c r="DA280" s="104"/>
      <c r="DB280" s="104"/>
      <c r="DC280" s="104"/>
      <c r="DD280" s="104"/>
      <c r="DE280" s="104"/>
      <c r="DF280" s="104"/>
      <c r="DG280" s="104"/>
      <c r="DH280" s="104"/>
      <c r="DI280" s="104"/>
      <c r="DJ280" s="104"/>
      <c r="DK280" s="104"/>
      <c r="DL280" s="104"/>
      <c r="DM280" s="104"/>
      <c r="DN280" s="104"/>
      <c r="DO280" s="104"/>
      <c r="DP280" s="104"/>
      <c r="DQ280" s="104"/>
      <c r="DR280" s="104"/>
      <c r="DS280" s="104"/>
      <c r="DT280" s="104"/>
      <c r="DU280" s="104"/>
      <c r="DV280" s="104"/>
      <c r="DW280" s="104"/>
      <c r="DX280" s="104"/>
      <c r="DY280" s="104"/>
      <c r="DZ280" s="104"/>
      <c r="EA280" s="104"/>
      <c r="EB280" s="104"/>
      <c r="EC280" s="104"/>
      <c r="ED280" s="104"/>
      <c r="EE280" s="104"/>
      <c r="EF280" s="104"/>
      <c r="EG280" s="104"/>
      <c r="EH280" s="104"/>
      <c r="EI280" s="104"/>
      <c r="EJ280" s="104"/>
      <c r="EK280" s="104"/>
      <c r="EL280" s="104"/>
      <c r="EM280" s="104"/>
      <c r="EN280" s="104"/>
      <c r="EO280" s="104"/>
      <c r="EP280" s="104"/>
      <c r="EQ280" s="104"/>
      <c r="ER280" s="104"/>
      <c r="ES280" s="104"/>
      <c r="ET280" s="104"/>
      <c r="EU280" s="104"/>
      <c r="EV280" s="104"/>
      <c r="EW280" s="104"/>
      <c r="EX280" s="104"/>
      <c r="EY280" s="104"/>
      <c r="EZ280" s="104"/>
      <c r="FA280" s="104"/>
      <c r="FB280" s="104"/>
      <c r="FC280" s="104"/>
      <c r="FD280" s="104"/>
      <c r="FE280" s="104"/>
      <c r="FF280" s="104"/>
      <c r="FG280" s="104"/>
      <c r="FH280" s="104"/>
      <c r="FI280" s="104"/>
      <c r="FJ280" s="104"/>
      <c r="FK280" s="104"/>
      <c r="FL280" s="104"/>
      <c r="FM280" s="104"/>
      <c r="FN280" s="104"/>
      <c r="FO280" s="104"/>
      <c r="FP280" s="104"/>
      <c r="FQ280" s="104"/>
      <c r="FR280" s="104"/>
      <c r="FS280" s="104"/>
      <c r="FT280" s="104"/>
      <c r="FU280" s="104"/>
      <c r="FV280" s="104"/>
      <c r="FW280" s="104"/>
      <c r="FX280" s="104"/>
      <c r="FY280" s="104"/>
      <c r="FZ280" s="104"/>
      <c r="GA280" s="104"/>
      <c r="GB280" s="104"/>
      <c r="GC280" s="104"/>
      <c r="GD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  <c r="HA280" s="104"/>
      <c r="HB280" s="104"/>
      <c r="HC280" s="104"/>
      <c r="HD280" s="104"/>
      <c r="HE280" s="104"/>
      <c r="HF280" s="104"/>
      <c r="HG280" s="104"/>
      <c r="HH280" s="104"/>
      <c r="HI280" s="104"/>
      <c r="HJ280" s="104"/>
      <c r="HK280" s="104"/>
      <c r="HL280" s="104"/>
      <c r="HM280" s="104"/>
      <c r="HN280" s="104"/>
      <c r="HO280" s="104"/>
      <c r="HP280" s="104"/>
      <c r="HQ280" s="104"/>
      <c r="HR280" s="104"/>
      <c r="HS280" s="104"/>
      <c r="HT280" s="104"/>
      <c r="HU280" s="104"/>
      <c r="HV280" s="104"/>
      <c r="HW280" s="104"/>
      <c r="HX280" s="104"/>
      <c r="HY280" s="104"/>
      <c r="HZ280" s="104"/>
      <c r="IA280" s="104"/>
      <c r="IB280" s="104"/>
      <c r="IC280" s="104"/>
      <c r="ID280" s="104"/>
      <c r="IE280" s="104"/>
      <c r="IF280" s="104"/>
      <c r="IG280" s="104"/>
      <c r="IH280" s="104"/>
      <c r="II280" s="104"/>
      <c r="IJ280" s="104"/>
      <c r="IK280" s="104"/>
      <c r="IL280" s="104"/>
      <c r="IM280" s="104"/>
      <c r="IN280" s="104"/>
      <c r="IO280" s="104"/>
      <c r="IP280" s="104"/>
      <c r="IQ280" s="104"/>
      <c r="IR280" s="104"/>
      <c r="IS280" s="104"/>
      <c r="IT280" s="104"/>
      <c r="IU280" s="104"/>
      <c r="IV280" s="104"/>
      <c r="IW280" s="104"/>
      <c r="IX280" s="104"/>
      <c r="IY280" s="104"/>
      <c r="IZ280" s="104"/>
      <c r="JA280" s="104"/>
    </row>
    <row r="281" spans="2:261" x14ac:dyDescent="0.2">
      <c r="B281" s="104"/>
      <c r="C281" s="104"/>
      <c r="D281" s="104"/>
      <c r="E281" s="104"/>
      <c r="F281" s="104"/>
      <c r="G281" s="104"/>
      <c r="H281" s="104"/>
      <c r="I281" s="104"/>
      <c r="J281" s="151"/>
      <c r="K281" s="104"/>
      <c r="L281" s="104"/>
      <c r="M281" s="104"/>
      <c r="N281" s="151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4"/>
      <c r="DB281" s="104"/>
      <c r="DC281" s="104"/>
      <c r="DD281" s="104"/>
      <c r="DE281" s="104"/>
      <c r="DF281" s="104"/>
      <c r="DG281" s="104"/>
      <c r="DH281" s="104"/>
      <c r="DI281" s="104"/>
      <c r="DJ281" s="104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104"/>
      <c r="DV281" s="104"/>
      <c r="DW281" s="104"/>
      <c r="DX281" s="104"/>
      <c r="DY281" s="104"/>
      <c r="DZ281" s="104"/>
      <c r="EA281" s="104"/>
      <c r="EB281" s="104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04"/>
      <c r="EZ281" s="104"/>
      <c r="FA281" s="104"/>
      <c r="FB281" s="104"/>
      <c r="FC281" s="104"/>
      <c r="FD281" s="104"/>
      <c r="FE281" s="104"/>
      <c r="FF281" s="104"/>
      <c r="FG281" s="104"/>
      <c r="FH281" s="104"/>
      <c r="FI281" s="104"/>
      <c r="FJ281" s="104"/>
      <c r="FK281" s="104"/>
      <c r="FL281" s="104"/>
      <c r="FM281" s="104"/>
      <c r="FN281" s="104"/>
      <c r="FO281" s="104"/>
      <c r="FP281" s="104"/>
      <c r="FQ281" s="104"/>
      <c r="FR281" s="104"/>
      <c r="FS281" s="104"/>
      <c r="FT281" s="104"/>
      <c r="FU281" s="104"/>
      <c r="FV281" s="104"/>
      <c r="FW281" s="104"/>
      <c r="FX281" s="104"/>
      <c r="FY281" s="104"/>
      <c r="FZ281" s="104"/>
      <c r="GA281" s="104"/>
      <c r="GB281" s="104"/>
      <c r="GC281" s="104"/>
      <c r="GD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  <c r="HA281" s="104"/>
      <c r="HB281" s="104"/>
      <c r="HC281" s="104"/>
      <c r="HD281" s="104"/>
      <c r="HE281" s="104"/>
      <c r="HF281" s="104"/>
      <c r="HG281" s="104"/>
      <c r="HH281" s="104"/>
      <c r="HI281" s="104"/>
      <c r="HJ281" s="104"/>
      <c r="HK281" s="104"/>
      <c r="HL281" s="104"/>
      <c r="HM281" s="104"/>
      <c r="HN281" s="104"/>
      <c r="HO281" s="104"/>
      <c r="HP281" s="104"/>
      <c r="HQ281" s="104"/>
      <c r="HR281" s="104"/>
      <c r="HS281" s="104"/>
      <c r="HT281" s="104"/>
      <c r="HU281" s="104"/>
      <c r="HV281" s="104"/>
      <c r="HW281" s="104"/>
      <c r="HX281" s="104"/>
      <c r="HY281" s="104"/>
      <c r="HZ281" s="104"/>
      <c r="IA281" s="104"/>
      <c r="IB281" s="104"/>
      <c r="IC281" s="104"/>
      <c r="ID281" s="104"/>
      <c r="IE281" s="104"/>
      <c r="IF281" s="104"/>
      <c r="IG281" s="104"/>
      <c r="IH281" s="104"/>
      <c r="II281" s="104"/>
      <c r="IJ281" s="104"/>
      <c r="IK281" s="104"/>
      <c r="IL281" s="104"/>
      <c r="IM281" s="104"/>
      <c r="IN281" s="104"/>
      <c r="IO281" s="104"/>
      <c r="IP281" s="104"/>
      <c r="IQ281" s="104"/>
      <c r="IR281" s="104"/>
      <c r="IS281" s="104"/>
      <c r="IT281" s="104"/>
      <c r="IU281" s="104"/>
      <c r="IV281" s="104"/>
      <c r="IW281" s="104"/>
      <c r="IX281" s="104"/>
      <c r="IY281" s="104"/>
      <c r="IZ281" s="104"/>
      <c r="JA281" s="104"/>
    </row>
    <row r="282" spans="2:261" x14ac:dyDescent="0.2">
      <c r="B282" s="104"/>
      <c r="C282" s="104"/>
      <c r="D282" s="104"/>
      <c r="E282" s="104"/>
      <c r="F282" s="104"/>
      <c r="G282" s="104"/>
      <c r="H282" s="104"/>
      <c r="I282" s="104"/>
      <c r="J282" s="151"/>
      <c r="K282" s="104"/>
      <c r="L282" s="104"/>
      <c r="M282" s="104"/>
      <c r="N282" s="151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  <c r="CH282" s="104"/>
      <c r="CI282" s="104"/>
      <c r="CJ282" s="104"/>
      <c r="CK282" s="104"/>
      <c r="CL282" s="104"/>
      <c r="CM282" s="104"/>
      <c r="CN282" s="104"/>
      <c r="CO282" s="104"/>
      <c r="CP282" s="104"/>
      <c r="CQ282" s="104"/>
      <c r="CR282" s="104"/>
      <c r="CS282" s="104"/>
      <c r="CT282" s="104"/>
      <c r="CU282" s="104"/>
      <c r="CV282" s="104"/>
      <c r="CW282" s="104"/>
      <c r="CX282" s="104"/>
      <c r="CY282" s="104"/>
      <c r="CZ282" s="104"/>
      <c r="DA282" s="104"/>
      <c r="DB282" s="104"/>
      <c r="DC282" s="104"/>
      <c r="DD282" s="104"/>
      <c r="DE282" s="104"/>
      <c r="DF282" s="104"/>
      <c r="DG282" s="104"/>
      <c r="DH282" s="104"/>
      <c r="DI282" s="104"/>
      <c r="DJ282" s="104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104"/>
      <c r="DV282" s="104"/>
      <c r="DW282" s="104"/>
      <c r="DX282" s="104"/>
      <c r="DY282" s="104"/>
      <c r="DZ282" s="104"/>
      <c r="EA282" s="104"/>
      <c r="EB282" s="104"/>
      <c r="EC282" s="104"/>
      <c r="ED282" s="104"/>
      <c r="EE282" s="104"/>
      <c r="EF282" s="104"/>
      <c r="EG282" s="104"/>
      <c r="EH282" s="104"/>
      <c r="EI282" s="104"/>
      <c r="EJ282" s="104"/>
      <c r="EK282" s="104"/>
      <c r="EL282" s="104"/>
      <c r="EM282" s="104"/>
      <c r="EN282" s="104"/>
      <c r="EO282" s="104"/>
      <c r="EP282" s="104"/>
      <c r="EQ282" s="104"/>
      <c r="ER282" s="104"/>
      <c r="ES282" s="104"/>
      <c r="ET282" s="104"/>
      <c r="EU282" s="104"/>
      <c r="EV282" s="104"/>
      <c r="EW282" s="104"/>
      <c r="EX282" s="104"/>
      <c r="EY282" s="104"/>
      <c r="EZ282" s="104"/>
      <c r="FA282" s="104"/>
      <c r="FB282" s="104"/>
      <c r="FC282" s="104"/>
      <c r="FD282" s="104"/>
      <c r="FE282" s="104"/>
      <c r="FF282" s="104"/>
      <c r="FG282" s="104"/>
      <c r="FH282" s="104"/>
      <c r="FI282" s="104"/>
      <c r="FJ282" s="104"/>
      <c r="FK282" s="104"/>
      <c r="FL282" s="104"/>
      <c r="FM282" s="104"/>
      <c r="FN282" s="104"/>
      <c r="FO282" s="104"/>
      <c r="FP282" s="104"/>
      <c r="FQ282" s="104"/>
      <c r="FR282" s="104"/>
      <c r="FS282" s="104"/>
      <c r="FT282" s="104"/>
      <c r="FU282" s="104"/>
      <c r="FV282" s="104"/>
      <c r="FW282" s="104"/>
      <c r="FX282" s="104"/>
      <c r="FY282" s="104"/>
      <c r="FZ282" s="104"/>
      <c r="GA282" s="104"/>
      <c r="GB282" s="104"/>
      <c r="GC282" s="104"/>
      <c r="GD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  <c r="HA282" s="104"/>
      <c r="HB282" s="104"/>
      <c r="HC282" s="104"/>
      <c r="HD282" s="104"/>
      <c r="HE282" s="104"/>
      <c r="HF282" s="104"/>
      <c r="HG282" s="104"/>
      <c r="HH282" s="104"/>
      <c r="HI282" s="104"/>
      <c r="HJ282" s="104"/>
      <c r="HK282" s="104"/>
      <c r="HL282" s="104"/>
      <c r="HM282" s="104"/>
      <c r="HN282" s="104"/>
      <c r="HO282" s="104"/>
      <c r="HP282" s="104"/>
      <c r="HQ282" s="104"/>
      <c r="HR282" s="104"/>
      <c r="HS282" s="104"/>
      <c r="HT282" s="104"/>
      <c r="HU282" s="104"/>
      <c r="HV282" s="104"/>
      <c r="HW282" s="104"/>
      <c r="HX282" s="104"/>
      <c r="HY282" s="104"/>
      <c r="HZ282" s="104"/>
      <c r="IA282" s="104"/>
      <c r="IB282" s="104"/>
      <c r="IC282" s="104"/>
      <c r="ID282" s="104"/>
      <c r="IE282" s="104"/>
      <c r="IF282" s="104"/>
      <c r="IG282" s="104"/>
      <c r="IH282" s="104"/>
      <c r="II282" s="104"/>
      <c r="IJ282" s="104"/>
      <c r="IK282" s="104"/>
      <c r="IL282" s="104"/>
      <c r="IM282" s="104"/>
      <c r="IN282" s="104"/>
      <c r="IO282" s="104"/>
      <c r="IP282" s="104"/>
      <c r="IQ282" s="104"/>
      <c r="IR282" s="104"/>
      <c r="IS282" s="104"/>
      <c r="IT282" s="104"/>
      <c r="IU282" s="104"/>
      <c r="IV282" s="104"/>
      <c r="IW282" s="104"/>
      <c r="IX282" s="104"/>
      <c r="IY282" s="104"/>
      <c r="IZ282" s="104"/>
      <c r="JA282" s="104"/>
    </row>
    <row r="283" spans="2:261" x14ac:dyDescent="0.2">
      <c r="B283" s="104"/>
      <c r="C283" s="104"/>
      <c r="D283" s="104"/>
      <c r="E283" s="104"/>
      <c r="F283" s="104"/>
      <c r="G283" s="104"/>
      <c r="H283" s="104"/>
      <c r="I283" s="104"/>
      <c r="J283" s="151"/>
      <c r="K283" s="104"/>
      <c r="L283" s="104"/>
      <c r="M283" s="104"/>
      <c r="N283" s="151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4"/>
      <c r="DB283" s="104"/>
      <c r="DC283" s="104"/>
      <c r="DD283" s="104"/>
      <c r="DE283" s="104"/>
      <c r="DF283" s="104"/>
      <c r="DG283" s="104"/>
      <c r="DH283" s="104"/>
      <c r="DI283" s="104"/>
      <c r="DJ283" s="104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104"/>
      <c r="DV283" s="104"/>
      <c r="DW283" s="104"/>
      <c r="DX283" s="104"/>
      <c r="DY283" s="104"/>
      <c r="DZ283" s="104"/>
      <c r="EA283" s="104"/>
      <c r="EB283" s="104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04"/>
      <c r="EZ283" s="104"/>
      <c r="FA283" s="104"/>
      <c r="FB283" s="104"/>
      <c r="FC283" s="104"/>
      <c r="FD283" s="104"/>
      <c r="FE283" s="104"/>
      <c r="FF283" s="104"/>
      <c r="FG283" s="104"/>
      <c r="FH283" s="104"/>
      <c r="FI283" s="104"/>
      <c r="FJ283" s="104"/>
      <c r="FK283" s="104"/>
      <c r="FL283" s="104"/>
      <c r="FM283" s="104"/>
      <c r="FN283" s="104"/>
      <c r="FO283" s="104"/>
      <c r="FP283" s="104"/>
      <c r="FQ283" s="104"/>
      <c r="FR283" s="104"/>
      <c r="FS283" s="104"/>
      <c r="FT283" s="104"/>
      <c r="FU283" s="104"/>
      <c r="FV283" s="104"/>
      <c r="FW283" s="104"/>
      <c r="FX283" s="104"/>
      <c r="FY283" s="104"/>
      <c r="FZ283" s="104"/>
      <c r="GA283" s="104"/>
      <c r="GB283" s="104"/>
      <c r="GC283" s="104"/>
      <c r="GD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  <c r="HA283" s="104"/>
      <c r="HB283" s="104"/>
      <c r="HC283" s="104"/>
      <c r="HD283" s="104"/>
      <c r="HE283" s="104"/>
      <c r="HF283" s="104"/>
      <c r="HG283" s="104"/>
      <c r="HH283" s="104"/>
      <c r="HI283" s="104"/>
      <c r="HJ283" s="104"/>
      <c r="HK283" s="104"/>
      <c r="HL283" s="104"/>
      <c r="HM283" s="104"/>
      <c r="HN283" s="104"/>
      <c r="HO283" s="104"/>
      <c r="HP283" s="104"/>
      <c r="HQ283" s="104"/>
      <c r="HR283" s="104"/>
      <c r="HS283" s="104"/>
      <c r="HT283" s="104"/>
      <c r="HU283" s="104"/>
      <c r="HV283" s="104"/>
      <c r="HW283" s="104"/>
      <c r="HX283" s="104"/>
      <c r="HY283" s="104"/>
      <c r="HZ283" s="104"/>
      <c r="IA283" s="104"/>
      <c r="IB283" s="104"/>
      <c r="IC283" s="104"/>
      <c r="ID283" s="104"/>
      <c r="IE283" s="104"/>
      <c r="IF283" s="104"/>
      <c r="IG283" s="104"/>
      <c r="IH283" s="104"/>
      <c r="II283" s="104"/>
      <c r="IJ283" s="104"/>
      <c r="IK283" s="104"/>
      <c r="IL283" s="104"/>
      <c r="IM283" s="104"/>
      <c r="IN283" s="104"/>
      <c r="IO283" s="104"/>
      <c r="IP283" s="104"/>
      <c r="IQ283" s="104"/>
      <c r="IR283" s="104"/>
      <c r="IS283" s="104"/>
      <c r="IT283" s="104"/>
      <c r="IU283" s="104"/>
      <c r="IV283" s="104"/>
      <c r="IW283" s="104"/>
      <c r="IX283" s="104"/>
      <c r="IY283" s="104"/>
      <c r="IZ283" s="104"/>
      <c r="JA283" s="104"/>
    </row>
    <row r="284" spans="2:261" x14ac:dyDescent="0.2">
      <c r="B284" s="104"/>
      <c r="C284" s="104"/>
      <c r="D284" s="104"/>
      <c r="E284" s="104"/>
      <c r="F284" s="104"/>
      <c r="G284" s="104"/>
      <c r="H284" s="104"/>
      <c r="I284" s="104"/>
      <c r="J284" s="151"/>
      <c r="K284" s="104"/>
      <c r="L284" s="104"/>
      <c r="M284" s="104"/>
      <c r="N284" s="151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  <c r="IW284" s="104"/>
      <c r="IX284" s="104"/>
      <c r="IY284" s="104"/>
      <c r="IZ284" s="104"/>
      <c r="JA284" s="104"/>
    </row>
    <row r="285" spans="2:261" x14ac:dyDescent="0.2">
      <c r="B285" s="104"/>
      <c r="C285" s="104"/>
      <c r="D285" s="104"/>
      <c r="E285" s="104"/>
      <c r="F285" s="104"/>
      <c r="G285" s="104"/>
      <c r="H285" s="104"/>
      <c r="I285" s="104"/>
      <c r="J285" s="151"/>
      <c r="K285" s="104"/>
      <c r="L285" s="104"/>
      <c r="M285" s="104"/>
      <c r="N285" s="151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  <c r="IW285" s="104"/>
      <c r="IX285" s="104"/>
      <c r="IY285" s="104"/>
      <c r="IZ285" s="104"/>
      <c r="JA285" s="104"/>
    </row>
    <row r="286" spans="2:261" x14ac:dyDescent="0.2">
      <c r="B286" s="104"/>
      <c r="C286" s="104"/>
      <c r="D286" s="104"/>
      <c r="E286" s="104"/>
      <c r="F286" s="104"/>
      <c r="G286" s="104"/>
      <c r="H286" s="104"/>
      <c r="I286" s="104"/>
      <c r="J286" s="151"/>
      <c r="K286" s="104"/>
      <c r="L286" s="104"/>
      <c r="M286" s="104"/>
      <c r="N286" s="151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  <c r="CH286" s="104"/>
      <c r="CI286" s="104"/>
      <c r="CJ286" s="104"/>
      <c r="CK286" s="104"/>
      <c r="CL286" s="104"/>
      <c r="CM286" s="104"/>
      <c r="CN286" s="104"/>
      <c r="CO286" s="104"/>
      <c r="CP286" s="104"/>
      <c r="CQ286" s="104"/>
      <c r="CR286" s="104"/>
      <c r="CS286" s="104"/>
      <c r="CT286" s="104"/>
      <c r="CU286" s="104"/>
      <c r="CV286" s="104"/>
      <c r="CW286" s="104"/>
      <c r="CX286" s="104"/>
      <c r="CY286" s="104"/>
      <c r="CZ286" s="104"/>
      <c r="DA286" s="104"/>
      <c r="DB286" s="104"/>
      <c r="DC286" s="104"/>
      <c r="DD286" s="104"/>
      <c r="DE286" s="104"/>
      <c r="DF286" s="104"/>
      <c r="DG286" s="104"/>
      <c r="DH286" s="104"/>
      <c r="DI286" s="104"/>
      <c r="DJ286" s="104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104"/>
      <c r="DV286" s="104"/>
      <c r="DW286" s="104"/>
      <c r="DX286" s="104"/>
      <c r="DY286" s="104"/>
      <c r="DZ286" s="104"/>
      <c r="EA286" s="104"/>
      <c r="EB286" s="104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04"/>
      <c r="EZ286" s="104"/>
      <c r="FA286" s="104"/>
      <c r="FB286" s="104"/>
      <c r="FC286" s="104"/>
      <c r="FD286" s="104"/>
      <c r="FE286" s="104"/>
      <c r="FF286" s="104"/>
      <c r="FG286" s="104"/>
      <c r="FH286" s="104"/>
      <c r="FI286" s="104"/>
      <c r="FJ286" s="104"/>
      <c r="FK286" s="104"/>
      <c r="FL286" s="104"/>
      <c r="FM286" s="104"/>
      <c r="FN286" s="104"/>
      <c r="FO286" s="104"/>
      <c r="FP286" s="104"/>
      <c r="FQ286" s="104"/>
      <c r="FR286" s="104"/>
      <c r="FS286" s="104"/>
      <c r="FT286" s="104"/>
      <c r="FU286" s="104"/>
      <c r="FV286" s="104"/>
      <c r="FW286" s="104"/>
      <c r="FX286" s="104"/>
      <c r="FY286" s="104"/>
      <c r="FZ286" s="104"/>
      <c r="GA286" s="104"/>
      <c r="GB286" s="104"/>
      <c r="GC286" s="104"/>
      <c r="GD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  <c r="HA286" s="104"/>
      <c r="HB286" s="104"/>
      <c r="HC286" s="104"/>
      <c r="HD286" s="104"/>
      <c r="HE286" s="104"/>
      <c r="HF286" s="104"/>
      <c r="HG286" s="104"/>
      <c r="HH286" s="104"/>
      <c r="HI286" s="104"/>
      <c r="HJ286" s="104"/>
      <c r="HK286" s="104"/>
      <c r="HL286" s="104"/>
      <c r="HM286" s="104"/>
      <c r="HN286" s="104"/>
      <c r="HO286" s="104"/>
      <c r="HP286" s="104"/>
      <c r="HQ286" s="104"/>
      <c r="HR286" s="104"/>
      <c r="HS286" s="104"/>
      <c r="HT286" s="104"/>
      <c r="HU286" s="104"/>
      <c r="HV286" s="104"/>
      <c r="HW286" s="104"/>
      <c r="HX286" s="104"/>
      <c r="HY286" s="104"/>
      <c r="HZ286" s="104"/>
      <c r="IA286" s="104"/>
      <c r="IB286" s="104"/>
      <c r="IC286" s="104"/>
      <c r="ID286" s="104"/>
      <c r="IE286" s="104"/>
      <c r="IF286" s="104"/>
      <c r="IG286" s="104"/>
      <c r="IH286" s="104"/>
      <c r="II286" s="104"/>
      <c r="IJ286" s="104"/>
      <c r="IK286" s="104"/>
      <c r="IL286" s="104"/>
      <c r="IM286" s="104"/>
      <c r="IN286" s="104"/>
      <c r="IO286" s="104"/>
      <c r="IP286" s="104"/>
      <c r="IQ286" s="104"/>
      <c r="IR286" s="104"/>
      <c r="IS286" s="104"/>
      <c r="IT286" s="104"/>
      <c r="IU286" s="104"/>
      <c r="IV286" s="104"/>
      <c r="IW286" s="104"/>
      <c r="IX286" s="104"/>
      <c r="IY286" s="104"/>
      <c r="IZ286" s="104"/>
      <c r="JA286" s="104"/>
    </row>
    <row r="287" spans="2:261" x14ac:dyDescent="0.2">
      <c r="B287" s="104"/>
      <c r="C287" s="104"/>
      <c r="D287" s="104"/>
      <c r="E287" s="104"/>
      <c r="F287" s="104"/>
      <c r="G287" s="104"/>
      <c r="H287" s="104"/>
      <c r="I287" s="104"/>
      <c r="J287" s="151"/>
      <c r="K287" s="104"/>
      <c r="L287" s="104"/>
      <c r="M287" s="104"/>
      <c r="N287" s="151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  <c r="CH287" s="104"/>
      <c r="CI287" s="104"/>
      <c r="CJ287" s="104"/>
      <c r="CK287" s="104"/>
      <c r="CL287" s="104"/>
      <c r="CM287" s="104"/>
      <c r="CN287" s="104"/>
      <c r="CO287" s="104"/>
      <c r="CP287" s="104"/>
      <c r="CQ287" s="104"/>
      <c r="CR287" s="104"/>
      <c r="CS287" s="104"/>
      <c r="CT287" s="104"/>
      <c r="CU287" s="104"/>
      <c r="CV287" s="104"/>
      <c r="CW287" s="104"/>
      <c r="CX287" s="104"/>
      <c r="CY287" s="104"/>
      <c r="CZ287" s="104"/>
      <c r="DA287" s="104"/>
      <c r="DB287" s="104"/>
      <c r="DC287" s="104"/>
      <c r="DD287" s="104"/>
      <c r="DE287" s="104"/>
      <c r="DF287" s="104"/>
      <c r="DG287" s="104"/>
      <c r="DH287" s="104"/>
      <c r="DI287" s="104"/>
      <c r="DJ287" s="104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104"/>
      <c r="DV287" s="104"/>
      <c r="DW287" s="104"/>
      <c r="DX287" s="104"/>
      <c r="DY287" s="104"/>
      <c r="DZ287" s="104"/>
      <c r="EA287" s="104"/>
      <c r="EB287" s="104"/>
      <c r="EC287" s="104"/>
      <c r="ED287" s="104"/>
      <c r="EE287" s="104"/>
      <c r="EF287" s="104"/>
      <c r="EG287" s="104"/>
      <c r="EH287" s="104"/>
      <c r="EI287" s="104"/>
      <c r="EJ287" s="104"/>
      <c r="EK287" s="104"/>
      <c r="EL287" s="104"/>
      <c r="EM287" s="104"/>
      <c r="EN287" s="104"/>
      <c r="EO287" s="104"/>
      <c r="EP287" s="104"/>
      <c r="EQ287" s="104"/>
      <c r="ER287" s="104"/>
      <c r="ES287" s="104"/>
      <c r="ET287" s="104"/>
      <c r="EU287" s="104"/>
      <c r="EV287" s="104"/>
      <c r="EW287" s="104"/>
      <c r="EX287" s="104"/>
      <c r="EY287" s="104"/>
      <c r="EZ287" s="104"/>
      <c r="FA287" s="104"/>
      <c r="FB287" s="104"/>
      <c r="FC287" s="104"/>
      <c r="FD287" s="104"/>
      <c r="FE287" s="104"/>
      <c r="FF287" s="104"/>
      <c r="FG287" s="104"/>
      <c r="FH287" s="104"/>
      <c r="FI287" s="104"/>
      <c r="FJ287" s="104"/>
      <c r="FK287" s="104"/>
      <c r="FL287" s="104"/>
      <c r="FM287" s="104"/>
      <c r="FN287" s="104"/>
      <c r="FO287" s="104"/>
      <c r="FP287" s="104"/>
      <c r="FQ287" s="104"/>
      <c r="FR287" s="104"/>
      <c r="FS287" s="104"/>
      <c r="FT287" s="104"/>
      <c r="FU287" s="104"/>
      <c r="FV287" s="104"/>
      <c r="FW287" s="104"/>
      <c r="FX287" s="104"/>
      <c r="FY287" s="104"/>
      <c r="FZ287" s="104"/>
      <c r="GA287" s="104"/>
      <c r="GB287" s="104"/>
      <c r="GC287" s="104"/>
      <c r="GD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  <c r="HA287" s="104"/>
      <c r="HB287" s="104"/>
      <c r="HC287" s="104"/>
      <c r="HD287" s="104"/>
      <c r="HE287" s="104"/>
      <c r="HF287" s="104"/>
      <c r="HG287" s="104"/>
      <c r="HH287" s="104"/>
      <c r="HI287" s="104"/>
      <c r="HJ287" s="104"/>
      <c r="HK287" s="104"/>
      <c r="HL287" s="104"/>
      <c r="HM287" s="104"/>
      <c r="HN287" s="104"/>
      <c r="HO287" s="104"/>
      <c r="HP287" s="104"/>
      <c r="HQ287" s="104"/>
      <c r="HR287" s="104"/>
      <c r="HS287" s="104"/>
      <c r="HT287" s="104"/>
      <c r="HU287" s="104"/>
      <c r="HV287" s="104"/>
      <c r="HW287" s="104"/>
      <c r="HX287" s="104"/>
      <c r="HY287" s="104"/>
      <c r="HZ287" s="104"/>
      <c r="IA287" s="104"/>
      <c r="IB287" s="104"/>
      <c r="IC287" s="104"/>
      <c r="ID287" s="104"/>
      <c r="IE287" s="104"/>
      <c r="IF287" s="104"/>
      <c r="IG287" s="104"/>
      <c r="IH287" s="104"/>
      <c r="II287" s="104"/>
      <c r="IJ287" s="104"/>
      <c r="IK287" s="104"/>
      <c r="IL287" s="104"/>
      <c r="IM287" s="104"/>
      <c r="IN287" s="104"/>
      <c r="IO287" s="104"/>
      <c r="IP287" s="104"/>
      <c r="IQ287" s="104"/>
      <c r="IR287" s="104"/>
      <c r="IS287" s="104"/>
      <c r="IT287" s="104"/>
      <c r="IU287" s="104"/>
      <c r="IV287" s="104"/>
      <c r="IW287" s="104"/>
      <c r="IX287" s="104"/>
      <c r="IY287" s="104"/>
      <c r="IZ287" s="104"/>
      <c r="JA287" s="104"/>
    </row>
    <row r="288" spans="2:261" x14ac:dyDescent="0.2">
      <c r="B288" s="104"/>
      <c r="C288" s="104"/>
      <c r="D288" s="104"/>
      <c r="E288" s="104"/>
      <c r="F288" s="104"/>
      <c r="G288" s="104"/>
      <c r="H288" s="104"/>
      <c r="I288" s="104"/>
      <c r="J288" s="151"/>
      <c r="K288" s="104"/>
      <c r="L288" s="104"/>
      <c r="M288" s="104"/>
      <c r="N288" s="151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4"/>
      <c r="DB288" s="104"/>
      <c r="DC288" s="104"/>
      <c r="DD288" s="104"/>
      <c r="DE288" s="104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104"/>
      <c r="DV288" s="104"/>
      <c r="DW288" s="104"/>
      <c r="DX288" s="104"/>
      <c r="DY288" s="104"/>
      <c r="DZ288" s="104"/>
      <c r="EA288" s="104"/>
      <c r="EB288" s="104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4"/>
      <c r="EP288" s="104"/>
      <c r="EQ288" s="104"/>
      <c r="ER288" s="104"/>
      <c r="ES288" s="104"/>
      <c r="ET288" s="104"/>
      <c r="EU288" s="104"/>
      <c r="EV288" s="104"/>
      <c r="EW288" s="104"/>
      <c r="EX288" s="104"/>
      <c r="EY288" s="104"/>
      <c r="EZ288" s="104"/>
      <c r="FA288" s="104"/>
      <c r="FB288" s="104"/>
      <c r="FC288" s="104"/>
      <c r="FD288" s="104"/>
      <c r="FE288" s="104"/>
      <c r="FF288" s="104"/>
      <c r="FG288" s="104"/>
      <c r="FH288" s="104"/>
      <c r="FI288" s="104"/>
      <c r="FJ288" s="104"/>
      <c r="FK288" s="104"/>
      <c r="FL288" s="104"/>
      <c r="FM288" s="104"/>
      <c r="FN288" s="104"/>
      <c r="FO288" s="104"/>
      <c r="FP288" s="104"/>
      <c r="FQ288" s="104"/>
      <c r="FR288" s="104"/>
      <c r="FS288" s="104"/>
      <c r="FT288" s="104"/>
      <c r="FU288" s="104"/>
      <c r="FV288" s="104"/>
      <c r="FW288" s="104"/>
      <c r="FX288" s="104"/>
      <c r="FY288" s="104"/>
      <c r="FZ288" s="104"/>
      <c r="GA288" s="104"/>
      <c r="GB288" s="104"/>
      <c r="GC288" s="104"/>
      <c r="GD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4"/>
      <c r="HC288" s="104"/>
      <c r="HD288" s="104"/>
      <c r="HE288" s="104"/>
      <c r="HF288" s="104"/>
      <c r="HG288" s="104"/>
      <c r="HH288" s="104"/>
      <c r="HI288" s="104"/>
      <c r="HJ288" s="104"/>
      <c r="HK288" s="104"/>
      <c r="HL288" s="104"/>
      <c r="HM288" s="104"/>
      <c r="HN288" s="104"/>
      <c r="HO288" s="104"/>
      <c r="HP288" s="104"/>
      <c r="HQ288" s="104"/>
      <c r="HR288" s="104"/>
      <c r="HS288" s="104"/>
      <c r="HT288" s="104"/>
      <c r="HU288" s="104"/>
      <c r="HV288" s="104"/>
      <c r="HW288" s="104"/>
      <c r="HX288" s="104"/>
      <c r="HY288" s="104"/>
      <c r="HZ288" s="104"/>
      <c r="IA288" s="104"/>
      <c r="IB288" s="104"/>
      <c r="IC288" s="104"/>
      <c r="ID288" s="104"/>
      <c r="IE288" s="104"/>
      <c r="IF288" s="104"/>
      <c r="IG288" s="104"/>
      <c r="IH288" s="104"/>
      <c r="II288" s="104"/>
      <c r="IJ288" s="104"/>
      <c r="IK288" s="104"/>
      <c r="IL288" s="104"/>
      <c r="IM288" s="104"/>
      <c r="IN288" s="104"/>
      <c r="IO288" s="104"/>
      <c r="IP288" s="104"/>
      <c r="IQ288" s="104"/>
      <c r="IR288" s="104"/>
      <c r="IS288" s="104"/>
      <c r="IT288" s="104"/>
      <c r="IU288" s="104"/>
      <c r="IV288" s="104"/>
      <c r="IW288" s="104"/>
      <c r="IX288" s="104"/>
      <c r="IY288" s="104"/>
      <c r="IZ288" s="104"/>
      <c r="JA288" s="104"/>
    </row>
    <row r="289" spans="2:261" x14ac:dyDescent="0.2">
      <c r="B289" s="104"/>
      <c r="C289" s="104"/>
      <c r="D289" s="104"/>
      <c r="E289" s="104"/>
      <c r="F289" s="104"/>
      <c r="G289" s="104"/>
      <c r="H289" s="104"/>
      <c r="I289" s="104"/>
      <c r="J289" s="151"/>
      <c r="K289" s="104"/>
      <c r="L289" s="104"/>
      <c r="M289" s="104"/>
      <c r="N289" s="151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4"/>
      <c r="DB289" s="104"/>
      <c r="DC289" s="104"/>
      <c r="DD289" s="104"/>
      <c r="DE289" s="104"/>
      <c r="DF289" s="104"/>
      <c r="DG289" s="104"/>
      <c r="DH289" s="104"/>
      <c r="DI289" s="104"/>
      <c r="DJ289" s="104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104"/>
      <c r="DV289" s="104"/>
      <c r="DW289" s="104"/>
      <c r="DX289" s="104"/>
      <c r="DY289" s="104"/>
      <c r="DZ289" s="104"/>
      <c r="EA289" s="104"/>
      <c r="EB289" s="104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04"/>
      <c r="EZ289" s="104"/>
      <c r="FA289" s="104"/>
      <c r="FB289" s="104"/>
      <c r="FC289" s="104"/>
      <c r="FD289" s="104"/>
      <c r="FE289" s="104"/>
      <c r="FF289" s="104"/>
      <c r="FG289" s="104"/>
      <c r="FH289" s="104"/>
      <c r="FI289" s="104"/>
      <c r="FJ289" s="104"/>
      <c r="FK289" s="104"/>
      <c r="FL289" s="104"/>
      <c r="FM289" s="104"/>
      <c r="FN289" s="104"/>
      <c r="FO289" s="104"/>
      <c r="FP289" s="104"/>
      <c r="FQ289" s="104"/>
      <c r="FR289" s="104"/>
      <c r="FS289" s="104"/>
      <c r="FT289" s="104"/>
      <c r="FU289" s="104"/>
      <c r="FV289" s="104"/>
      <c r="FW289" s="104"/>
      <c r="FX289" s="104"/>
      <c r="FY289" s="104"/>
      <c r="FZ289" s="104"/>
      <c r="GA289" s="104"/>
      <c r="GB289" s="104"/>
      <c r="GC289" s="104"/>
      <c r="GD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  <c r="HL289" s="104"/>
      <c r="HM289" s="104"/>
      <c r="HN289" s="104"/>
      <c r="HO289" s="104"/>
      <c r="HP289" s="104"/>
      <c r="HQ289" s="104"/>
      <c r="HR289" s="104"/>
      <c r="HS289" s="104"/>
      <c r="HT289" s="104"/>
      <c r="HU289" s="104"/>
      <c r="HV289" s="104"/>
      <c r="HW289" s="104"/>
      <c r="HX289" s="104"/>
      <c r="HY289" s="104"/>
      <c r="HZ289" s="104"/>
      <c r="IA289" s="104"/>
      <c r="IB289" s="104"/>
      <c r="IC289" s="104"/>
      <c r="ID289" s="104"/>
      <c r="IE289" s="104"/>
      <c r="IF289" s="104"/>
      <c r="IG289" s="104"/>
      <c r="IH289" s="104"/>
      <c r="II289" s="104"/>
      <c r="IJ289" s="104"/>
      <c r="IK289" s="104"/>
      <c r="IL289" s="104"/>
      <c r="IM289" s="104"/>
      <c r="IN289" s="104"/>
      <c r="IO289" s="104"/>
      <c r="IP289" s="104"/>
      <c r="IQ289" s="104"/>
      <c r="IR289" s="104"/>
      <c r="IS289" s="104"/>
      <c r="IT289" s="104"/>
      <c r="IU289" s="104"/>
      <c r="IV289" s="104"/>
      <c r="IW289" s="104"/>
      <c r="IX289" s="104"/>
      <c r="IY289" s="104"/>
      <c r="IZ289" s="104"/>
      <c r="JA289" s="104"/>
    </row>
    <row r="290" spans="2:261" x14ac:dyDescent="0.2">
      <c r="B290" s="104"/>
      <c r="C290" s="104"/>
      <c r="D290" s="104"/>
      <c r="E290" s="104"/>
      <c r="F290" s="104"/>
      <c r="G290" s="104"/>
      <c r="H290" s="104"/>
      <c r="I290" s="104"/>
      <c r="J290" s="151"/>
      <c r="K290" s="104"/>
      <c r="L290" s="104"/>
      <c r="M290" s="104"/>
      <c r="N290" s="151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04"/>
      <c r="EZ290" s="104"/>
      <c r="FA290" s="104"/>
      <c r="FB290" s="104"/>
      <c r="FC290" s="104"/>
      <c r="FD290" s="104"/>
      <c r="FE290" s="104"/>
      <c r="FF290" s="104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  <c r="HO290" s="104"/>
      <c r="HP290" s="104"/>
      <c r="HQ290" s="104"/>
      <c r="HR290" s="104"/>
      <c r="HS290" s="104"/>
      <c r="HT290" s="104"/>
      <c r="HU290" s="104"/>
      <c r="HV290" s="104"/>
      <c r="HW290" s="104"/>
      <c r="HX290" s="104"/>
      <c r="HY290" s="104"/>
      <c r="HZ290" s="104"/>
      <c r="IA290" s="104"/>
      <c r="IB290" s="104"/>
      <c r="IC290" s="104"/>
      <c r="ID290" s="104"/>
      <c r="IE290" s="104"/>
      <c r="IF290" s="104"/>
      <c r="IG290" s="104"/>
      <c r="IH290" s="104"/>
      <c r="II290" s="104"/>
      <c r="IJ290" s="104"/>
      <c r="IK290" s="104"/>
      <c r="IL290" s="104"/>
      <c r="IM290" s="104"/>
      <c r="IN290" s="104"/>
      <c r="IO290" s="104"/>
      <c r="IP290" s="104"/>
      <c r="IQ290" s="104"/>
      <c r="IR290" s="104"/>
      <c r="IS290" s="104"/>
      <c r="IT290" s="104"/>
      <c r="IU290" s="104"/>
      <c r="IV290" s="104"/>
      <c r="IW290" s="104"/>
      <c r="IX290" s="104"/>
      <c r="IY290" s="104"/>
      <c r="IZ290" s="104"/>
      <c r="JA290" s="104"/>
    </row>
    <row r="291" spans="2:261" x14ac:dyDescent="0.2">
      <c r="B291" s="104"/>
      <c r="C291" s="104"/>
      <c r="D291" s="104"/>
      <c r="E291" s="104"/>
      <c r="F291" s="104"/>
      <c r="G291" s="104"/>
      <c r="H291" s="104"/>
      <c r="I291" s="104"/>
      <c r="J291" s="151"/>
      <c r="K291" s="104"/>
      <c r="L291" s="104"/>
      <c r="M291" s="104"/>
      <c r="N291" s="151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04"/>
      <c r="EZ291" s="104"/>
      <c r="FA291" s="104"/>
      <c r="FB291" s="104"/>
      <c r="FC291" s="104"/>
      <c r="FD291" s="104"/>
      <c r="FE291" s="104"/>
      <c r="FF291" s="104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  <c r="HO291" s="104"/>
      <c r="HP291" s="104"/>
      <c r="HQ291" s="104"/>
      <c r="HR291" s="104"/>
      <c r="HS291" s="104"/>
      <c r="HT291" s="104"/>
      <c r="HU291" s="104"/>
      <c r="HV291" s="104"/>
      <c r="HW291" s="104"/>
      <c r="HX291" s="104"/>
      <c r="HY291" s="104"/>
      <c r="HZ291" s="104"/>
      <c r="IA291" s="104"/>
      <c r="IB291" s="104"/>
      <c r="IC291" s="104"/>
      <c r="ID291" s="104"/>
      <c r="IE291" s="104"/>
      <c r="IF291" s="104"/>
      <c r="IG291" s="104"/>
      <c r="IH291" s="104"/>
      <c r="II291" s="104"/>
      <c r="IJ291" s="104"/>
      <c r="IK291" s="104"/>
      <c r="IL291" s="104"/>
      <c r="IM291" s="104"/>
      <c r="IN291" s="104"/>
      <c r="IO291" s="104"/>
      <c r="IP291" s="104"/>
      <c r="IQ291" s="104"/>
      <c r="IR291" s="104"/>
      <c r="IS291" s="104"/>
      <c r="IT291" s="104"/>
      <c r="IU291" s="104"/>
      <c r="IV291" s="104"/>
      <c r="IW291" s="104"/>
      <c r="IX291" s="104"/>
      <c r="IY291" s="104"/>
      <c r="IZ291" s="104"/>
      <c r="JA291" s="104"/>
    </row>
    <row r="292" spans="2:261" x14ac:dyDescent="0.2">
      <c r="B292" s="104"/>
      <c r="C292" s="104"/>
      <c r="D292" s="104"/>
      <c r="E292" s="104"/>
      <c r="F292" s="104"/>
      <c r="G292" s="104"/>
      <c r="H292" s="104"/>
      <c r="I292" s="104"/>
      <c r="J292" s="151"/>
      <c r="K292" s="104"/>
      <c r="L292" s="104"/>
      <c r="M292" s="104"/>
      <c r="N292" s="151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04"/>
      <c r="EZ292" s="104"/>
      <c r="FA292" s="104"/>
      <c r="FB292" s="104"/>
      <c r="FC292" s="104"/>
      <c r="FD292" s="104"/>
      <c r="FE292" s="104"/>
      <c r="FF292" s="104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  <c r="HO292" s="104"/>
      <c r="HP292" s="104"/>
      <c r="HQ292" s="104"/>
      <c r="HR292" s="104"/>
      <c r="HS292" s="104"/>
      <c r="HT292" s="104"/>
      <c r="HU292" s="104"/>
      <c r="HV292" s="104"/>
      <c r="HW292" s="104"/>
      <c r="HX292" s="104"/>
      <c r="HY292" s="104"/>
      <c r="HZ292" s="104"/>
      <c r="IA292" s="104"/>
      <c r="IB292" s="104"/>
      <c r="IC292" s="104"/>
      <c r="ID292" s="104"/>
      <c r="IE292" s="104"/>
      <c r="IF292" s="104"/>
      <c r="IG292" s="104"/>
      <c r="IH292" s="104"/>
      <c r="II292" s="104"/>
      <c r="IJ292" s="104"/>
      <c r="IK292" s="104"/>
      <c r="IL292" s="104"/>
      <c r="IM292" s="104"/>
      <c r="IN292" s="104"/>
      <c r="IO292" s="104"/>
      <c r="IP292" s="104"/>
      <c r="IQ292" s="104"/>
      <c r="IR292" s="104"/>
      <c r="IS292" s="104"/>
      <c r="IT292" s="104"/>
      <c r="IU292" s="104"/>
      <c r="IV292" s="104"/>
      <c r="IW292" s="104"/>
      <c r="IX292" s="104"/>
      <c r="IY292" s="104"/>
      <c r="IZ292" s="104"/>
      <c r="JA292" s="104"/>
    </row>
    <row r="293" spans="2:261" x14ac:dyDescent="0.2">
      <c r="B293" s="104"/>
      <c r="C293" s="104"/>
      <c r="D293" s="104"/>
      <c r="E293" s="104"/>
      <c r="F293" s="104"/>
      <c r="G293" s="104"/>
      <c r="H293" s="104"/>
      <c r="I293" s="104"/>
      <c r="J293" s="151"/>
      <c r="K293" s="104"/>
      <c r="L293" s="104"/>
      <c r="M293" s="104"/>
      <c r="N293" s="151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04"/>
      <c r="EZ293" s="104"/>
      <c r="FA293" s="104"/>
      <c r="FB293" s="104"/>
      <c r="FC293" s="104"/>
      <c r="FD293" s="104"/>
      <c r="FE293" s="104"/>
      <c r="FF293" s="104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  <c r="HO293" s="104"/>
      <c r="HP293" s="104"/>
      <c r="HQ293" s="104"/>
      <c r="HR293" s="104"/>
      <c r="HS293" s="104"/>
      <c r="HT293" s="104"/>
      <c r="HU293" s="104"/>
      <c r="HV293" s="104"/>
      <c r="HW293" s="104"/>
      <c r="HX293" s="104"/>
      <c r="HY293" s="104"/>
      <c r="HZ293" s="104"/>
      <c r="IA293" s="104"/>
      <c r="IB293" s="104"/>
      <c r="IC293" s="104"/>
      <c r="ID293" s="104"/>
      <c r="IE293" s="104"/>
      <c r="IF293" s="104"/>
      <c r="IG293" s="104"/>
      <c r="IH293" s="104"/>
      <c r="II293" s="104"/>
      <c r="IJ293" s="104"/>
      <c r="IK293" s="104"/>
      <c r="IL293" s="104"/>
      <c r="IM293" s="104"/>
      <c r="IN293" s="104"/>
      <c r="IO293" s="104"/>
      <c r="IP293" s="104"/>
      <c r="IQ293" s="104"/>
      <c r="IR293" s="104"/>
      <c r="IS293" s="104"/>
      <c r="IT293" s="104"/>
      <c r="IU293" s="104"/>
      <c r="IV293" s="104"/>
      <c r="IW293" s="104"/>
      <c r="IX293" s="104"/>
      <c r="IY293" s="104"/>
      <c r="IZ293" s="104"/>
      <c r="JA293" s="104"/>
    </row>
    <row r="294" spans="2:261" x14ac:dyDescent="0.2">
      <c r="B294" s="104"/>
      <c r="C294" s="104"/>
      <c r="D294" s="104"/>
      <c r="E294" s="104"/>
      <c r="F294" s="104"/>
      <c r="G294" s="104"/>
      <c r="H294" s="104"/>
      <c r="I294" s="104"/>
      <c r="J294" s="151"/>
      <c r="K294" s="104"/>
      <c r="L294" s="104"/>
      <c r="M294" s="104"/>
      <c r="N294" s="151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04"/>
      <c r="EZ294" s="104"/>
      <c r="FA294" s="104"/>
      <c r="FB294" s="104"/>
      <c r="FC294" s="104"/>
      <c r="FD294" s="104"/>
      <c r="FE294" s="104"/>
      <c r="FF294" s="104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  <c r="HO294" s="104"/>
      <c r="HP294" s="104"/>
      <c r="HQ294" s="104"/>
      <c r="HR294" s="104"/>
      <c r="HS294" s="104"/>
      <c r="HT294" s="104"/>
      <c r="HU294" s="104"/>
      <c r="HV294" s="104"/>
      <c r="HW294" s="104"/>
      <c r="HX294" s="104"/>
      <c r="HY294" s="104"/>
      <c r="HZ294" s="104"/>
      <c r="IA294" s="104"/>
      <c r="IB294" s="104"/>
      <c r="IC294" s="104"/>
      <c r="ID294" s="104"/>
      <c r="IE294" s="104"/>
      <c r="IF294" s="104"/>
      <c r="IG294" s="104"/>
      <c r="IH294" s="104"/>
      <c r="II294" s="104"/>
      <c r="IJ294" s="104"/>
      <c r="IK294" s="104"/>
      <c r="IL294" s="104"/>
      <c r="IM294" s="104"/>
      <c r="IN294" s="104"/>
      <c r="IO294" s="104"/>
      <c r="IP294" s="104"/>
      <c r="IQ294" s="104"/>
      <c r="IR294" s="104"/>
      <c r="IS294" s="104"/>
      <c r="IT294" s="104"/>
      <c r="IU294" s="104"/>
      <c r="IV294" s="104"/>
      <c r="IW294" s="104"/>
      <c r="IX294" s="104"/>
      <c r="IY294" s="104"/>
      <c r="IZ294" s="104"/>
      <c r="JA294" s="104"/>
    </row>
    <row r="295" spans="2:261" x14ac:dyDescent="0.2">
      <c r="B295" s="104"/>
      <c r="C295" s="104"/>
      <c r="D295" s="104"/>
      <c r="E295" s="104"/>
      <c r="F295" s="104"/>
      <c r="G295" s="104"/>
      <c r="H295" s="104"/>
      <c r="I295" s="104"/>
      <c r="J295" s="151"/>
      <c r="K295" s="104"/>
      <c r="L295" s="104"/>
      <c r="M295" s="104"/>
      <c r="N295" s="151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4"/>
      <c r="DB295" s="104"/>
      <c r="DC295" s="104"/>
      <c r="DD295" s="104"/>
      <c r="DE295" s="104"/>
      <c r="DF295" s="104"/>
      <c r="DG295" s="104"/>
      <c r="DH295" s="104"/>
      <c r="DI295" s="104"/>
      <c r="DJ295" s="104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104"/>
      <c r="DV295" s="104"/>
      <c r="DW295" s="104"/>
      <c r="DX295" s="104"/>
      <c r="DY295" s="104"/>
      <c r="DZ295" s="104"/>
      <c r="EA295" s="104"/>
      <c r="EB295" s="104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04"/>
      <c r="EZ295" s="104"/>
      <c r="FA295" s="104"/>
      <c r="FB295" s="104"/>
      <c r="FC295" s="104"/>
      <c r="FD295" s="104"/>
      <c r="FE295" s="104"/>
      <c r="FF295" s="104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  <c r="HO295" s="104"/>
      <c r="HP295" s="104"/>
      <c r="HQ295" s="104"/>
      <c r="HR295" s="104"/>
      <c r="HS295" s="104"/>
      <c r="HT295" s="104"/>
      <c r="HU295" s="104"/>
      <c r="HV295" s="104"/>
      <c r="HW295" s="104"/>
      <c r="HX295" s="104"/>
      <c r="HY295" s="104"/>
      <c r="HZ295" s="104"/>
      <c r="IA295" s="104"/>
      <c r="IB295" s="104"/>
      <c r="IC295" s="104"/>
      <c r="ID295" s="104"/>
      <c r="IE295" s="104"/>
      <c r="IF295" s="104"/>
      <c r="IG295" s="104"/>
      <c r="IH295" s="104"/>
      <c r="II295" s="104"/>
      <c r="IJ295" s="104"/>
      <c r="IK295" s="104"/>
      <c r="IL295" s="104"/>
      <c r="IM295" s="104"/>
      <c r="IN295" s="104"/>
      <c r="IO295" s="104"/>
      <c r="IP295" s="104"/>
      <c r="IQ295" s="104"/>
      <c r="IR295" s="104"/>
      <c r="IS295" s="104"/>
      <c r="IT295" s="104"/>
      <c r="IU295" s="104"/>
      <c r="IV295" s="104"/>
      <c r="IW295" s="104"/>
      <c r="IX295" s="104"/>
      <c r="IY295" s="104"/>
      <c r="IZ295" s="104"/>
      <c r="JA295" s="104"/>
    </row>
    <row r="296" spans="2:261" x14ac:dyDescent="0.2">
      <c r="B296" s="104"/>
      <c r="C296" s="104"/>
      <c r="D296" s="104"/>
      <c r="E296" s="104"/>
      <c r="F296" s="104"/>
      <c r="G296" s="104"/>
      <c r="H296" s="104"/>
      <c r="I296" s="104"/>
      <c r="J296" s="151"/>
      <c r="K296" s="104"/>
      <c r="L296" s="104"/>
      <c r="M296" s="104"/>
      <c r="N296" s="151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4"/>
      <c r="DB296" s="104"/>
      <c r="DC296" s="104"/>
      <c r="DD296" s="104"/>
      <c r="DE296" s="104"/>
      <c r="DF296" s="104"/>
      <c r="DG296" s="104"/>
      <c r="DH296" s="104"/>
      <c r="DI296" s="104"/>
      <c r="DJ296" s="104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104"/>
      <c r="DV296" s="104"/>
      <c r="DW296" s="104"/>
      <c r="DX296" s="104"/>
      <c r="DY296" s="104"/>
      <c r="DZ296" s="104"/>
      <c r="EA296" s="104"/>
      <c r="EB296" s="104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04"/>
      <c r="EZ296" s="104"/>
      <c r="FA296" s="104"/>
      <c r="FB296" s="104"/>
      <c r="FC296" s="104"/>
      <c r="FD296" s="104"/>
      <c r="FE296" s="104"/>
      <c r="FF296" s="104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  <c r="HO296" s="104"/>
      <c r="HP296" s="104"/>
      <c r="HQ296" s="104"/>
      <c r="HR296" s="104"/>
      <c r="HS296" s="104"/>
      <c r="HT296" s="104"/>
      <c r="HU296" s="104"/>
      <c r="HV296" s="104"/>
      <c r="HW296" s="104"/>
      <c r="HX296" s="104"/>
      <c r="HY296" s="104"/>
      <c r="HZ296" s="104"/>
      <c r="IA296" s="104"/>
      <c r="IB296" s="104"/>
      <c r="IC296" s="104"/>
      <c r="ID296" s="104"/>
      <c r="IE296" s="104"/>
      <c r="IF296" s="104"/>
      <c r="IG296" s="104"/>
      <c r="IH296" s="104"/>
      <c r="II296" s="104"/>
      <c r="IJ296" s="104"/>
      <c r="IK296" s="104"/>
      <c r="IL296" s="104"/>
      <c r="IM296" s="104"/>
      <c r="IN296" s="104"/>
      <c r="IO296" s="104"/>
      <c r="IP296" s="104"/>
      <c r="IQ296" s="104"/>
      <c r="IR296" s="104"/>
      <c r="IS296" s="104"/>
      <c r="IT296" s="104"/>
      <c r="IU296" s="104"/>
      <c r="IV296" s="104"/>
      <c r="IW296" s="104"/>
      <c r="IX296" s="104"/>
      <c r="IY296" s="104"/>
      <c r="IZ296" s="104"/>
      <c r="JA296" s="104"/>
    </row>
    <row r="297" spans="2:261" x14ac:dyDescent="0.2">
      <c r="B297" s="104"/>
      <c r="C297" s="104"/>
      <c r="D297" s="104"/>
      <c r="E297" s="104"/>
      <c r="F297" s="104"/>
      <c r="G297" s="104"/>
      <c r="H297" s="104"/>
      <c r="I297" s="104"/>
      <c r="J297" s="151"/>
      <c r="K297" s="104"/>
      <c r="L297" s="104"/>
      <c r="M297" s="104"/>
      <c r="N297" s="151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4"/>
      <c r="DB297" s="104"/>
      <c r="DC297" s="104"/>
      <c r="DD297" s="104"/>
      <c r="DE297" s="104"/>
      <c r="DF297" s="104"/>
      <c r="DG297" s="104"/>
      <c r="DH297" s="104"/>
      <c r="DI297" s="104"/>
      <c r="DJ297" s="104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104"/>
      <c r="DV297" s="104"/>
      <c r="DW297" s="104"/>
      <c r="DX297" s="104"/>
      <c r="DY297" s="104"/>
      <c r="DZ297" s="104"/>
      <c r="EA297" s="104"/>
      <c r="EB297" s="104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04"/>
      <c r="EZ297" s="104"/>
      <c r="FA297" s="104"/>
      <c r="FB297" s="104"/>
      <c r="FC297" s="104"/>
      <c r="FD297" s="104"/>
      <c r="FE297" s="104"/>
      <c r="FF297" s="104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  <c r="HO297" s="104"/>
      <c r="HP297" s="104"/>
      <c r="HQ297" s="104"/>
      <c r="HR297" s="104"/>
      <c r="HS297" s="104"/>
      <c r="HT297" s="104"/>
      <c r="HU297" s="104"/>
      <c r="HV297" s="104"/>
      <c r="HW297" s="104"/>
      <c r="HX297" s="104"/>
      <c r="HY297" s="104"/>
      <c r="HZ297" s="104"/>
      <c r="IA297" s="104"/>
      <c r="IB297" s="104"/>
      <c r="IC297" s="104"/>
      <c r="ID297" s="104"/>
      <c r="IE297" s="104"/>
      <c r="IF297" s="104"/>
      <c r="IG297" s="104"/>
      <c r="IH297" s="104"/>
      <c r="II297" s="104"/>
      <c r="IJ297" s="104"/>
      <c r="IK297" s="104"/>
      <c r="IL297" s="104"/>
      <c r="IM297" s="104"/>
      <c r="IN297" s="104"/>
      <c r="IO297" s="104"/>
      <c r="IP297" s="104"/>
      <c r="IQ297" s="104"/>
      <c r="IR297" s="104"/>
      <c r="IS297" s="104"/>
      <c r="IT297" s="104"/>
      <c r="IU297" s="104"/>
      <c r="IV297" s="104"/>
      <c r="IW297" s="104"/>
      <c r="IX297" s="104"/>
      <c r="IY297" s="104"/>
      <c r="IZ297" s="104"/>
      <c r="JA297" s="104"/>
    </row>
    <row r="298" spans="2:261" x14ac:dyDescent="0.2">
      <c r="B298" s="104"/>
      <c r="C298" s="104"/>
      <c r="D298" s="104"/>
      <c r="E298" s="104"/>
      <c r="F298" s="104"/>
      <c r="G298" s="104"/>
      <c r="H298" s="104"/>
      <c r="I298" s="104"/>
      <c r="J298" s="151"/>
      <c r="K298" s="104"/>
      <c r="L298" s="104"/>
      <c r="M298" s="104"/>
      <c r="N298" s="151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4"/>
      <c r="DB298" s="104"/>
      <c r="DC298" s="104"/>
      <c r="DD298" s="104"/>
      <c r="DE298" s="104"/>
      <c r="DF298" s="104"/>
      <c r="DG298" s="104"/>
      <c r="DH298" s="104"/>
      <c r="DI298" s="104"/>
      <c r="DJ298" s="104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104"/>
      <c r="DV298" s="104"/>
      <c r="DW298" s="104"/>
      <c r="DX298" s="104"/>
      <c r="DY298" s="104"/>
      <c r="DZ298" s="104"/>
      <c r="EA298" s="104"/>
      <c r="EB298" s="104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04"/>
      <c r="EZ298" s="104"/>
      <c r="FA298" s="104"/>
      <c r="FB298" s="104"/>
      <c r="FC298" s="104"/>
      <c r="FD298" s="104"/>
      <c r="FE298" s="104"/>
      <c r="FF298" s="104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  <c r="HO298" s="104"/>
      <c r="HP298" s="104"/>
      <c r="HQ298" s="104"/>
      <c r="HR298" s="104"/>
      <c r="HS298" s="104"/>
      <c r="HT298" s="104"/>
      <c r="HU298" s="104"/>
      <c r="HV298" s="104"/>
      <c r="HW298" s="104"/>
      <c r="HX298" s="104"/>
      <c r="HY298" s="104"/>
      <c r="HZ298" s="104"/>
      <c r="IA298" s="104"/>
      <c r="IB298" s="104"/>
      <c r="IC298" s="104"/>
      <c r="ID298" s="104"/>
      <c r="IE298" s="104"/>
      <c r="IF298" s="104"/>
      <c r="IG298" s="104"/>
      <c r="IH298" s="104"/>
      <c r="II298" s="104"/>
      <c r="IJ298" s="104"/>
      <c r="IK298" s="104"/>
      <c r="IL298" s="104"/>
      <c r="IM298" s="104"/>
      <c r="IN298" s="104"/>
      <c r="IO298" s="104"/>
      <c r="IP298" s="104"/>
      <c r="IQ298" s="104"/>
      <c r="IR298" s="104"/>
      <c r="IS298" s="104"/>
      <c r="IT298" s="104"/>
      <c r="IU298" s="104"/>
      <c r="IV298" s="104"/>
      <c r="IW298" s="104"/>
      <c r="IX298" s="104"/>
      <c r="IY298" s="104"/>
      <c r="IZ298" s="104"/>
      <c r="JA298" s="104"/>
    </row>
    <row r="299" spans="2:261" x14ac:dyDescent="0.2">
      <c r="B299" s="104"/>
      <c r="C299" s="104"/>
      <c r="D299" s="104"/>
      <c r="E299" s="104"/>
      <c r="F299" s="104"/>
      <c r="G299" s="104"/>
      <c r="H299" s="104"/>
      <c r="I299" s="104"/>
      <c r="J299" s="151"/>
      <c r="K299" s="104"/>
      <c r="L299" s="104"/>
      <c r="M299" s="104"/>
      <c r="N299" s="151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4"/>
      <c r="DB299" s="104"/>
      <c r="DC299" s="104"/>
      <c r="DD299" s="104"/>
      <c r="DE299" s="104"/>
      <c r="DF299" s="104"/>
      <c r="DG299" s="104"/>
      <c r="DH299" s="104"/>
      <c r="DI299" s="104"/>
      <c r="DJ299" s="104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104"/>
      <c r="DV299" s="104"/>
      <c r="DW299" s="104"/>
      <c r="DX299" s="104"/>
      <c r="DY299" s="104"/>
      <c r="DZ299" s="104"/>
      <c r="EA299" s="104"/>
      <c r="EB299" s="104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4"/>
      <c r="FA299" s="104"/>
      <c r="FB299" s="104"/>
      <c r="FC299" s="104"/>
      <c r="FD299" s="104"/>
      <c r="FE299" s="104"/>
      <c r="FF299" s="104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  <c r="HO299" s="104"/>
      <c r="HP299" s="104"/>
      <c r="HQ299" s="104"/>
      <c r="HR299" s="104"/>
      <c r="HS299" s="104"/>
      <c r="HT299" s="104"/>
      <c r="HU299" s="104"/>
      <c r="HV299" s="104"/>
      <c r="HW299" s="104"/>
      <c r="HX299" s="104"/>
      <c r="HY299" s="104"/>
      <c r="HZ299" s="104"/>
      <c r="IA299" s="104"/>
      <c r="IB299" s="104"/>
      <c r="IC299" s="104"/>
      <c r="ID299" s="104"/>
      <c r="IE299" s="104"/>
      <c r="IF299" s="104"/>
      <c r="IG299" s="104"/>
      <c r="IH299" s="104"/>
      <c r="II299" s="104"/>
      <c r="IJ299" s="104"/>
      <c r="IK299" s="104"/>
      <c r="IL299" s="104"/>
      <c r="IM299" s="104"/>
      <c r="IN299" s="104"/>
      <c r="IO299" s="104"/>
      <c r="IP299" s="104"/>
      <c r="IQ299" s="104"/>
      <c r="IR299" s="104"/>
      <c r="IS299" s="104"/>
      <c r="IT299" s="104"/>
      <c r="IU299" s="104"/>
      <c r="IV299" s="104"/>
      <c r="IW299" s="104"/>
      <c r="IX299" s="104"/>
      <c r="IY299" s="104"/>
      <c r="IZ299" s="104"/>
      <c r="JA299" s="104"/>
    </row>
    <row r="300" spans="2:261" x14ac:dyDescent="0.2">
      <c r="B300" s="104"/>
      <c r="C300" s="104"/>
      <c r="D300" s="104"/>
      <c r="E300" s="104"/>
      <c r="F300" s="104"/>
      <c r="G300" s="104"/>
      <c r="H300" s="104"/>
      <c r="I300" s="104"/>
      <c r="J300" s="151"/>
      <c r="K300" s="104"/>
      <c r="L300" s="104"/>
      <c r="M300" s="104"/>
      <c r="N300" s="151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4"/>
      <c r="DB300" s="104"/>
      <c r="DC300" s="104"/>
      <c r="DD300" s="104"/>
      <c r="DE300" s="104"/>
      <c r="DF300" s="104"/>
      <c r="DG300" s="104"/>
      <c r="DH300" s="104"/>
      <c r="DI300" s="104"/>
      <c r="DJ300" s="104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104"/>
      <c r="DV300" s="104"/>
      <c r="DW300" s="104"/>
      <c r="DX300" s="104"/>
      <c r="DY300" s="104"/>
      <c r="DZ300" s="104"/>
      <c r="EA300" s="104"/>
      <c r="EB300" s="104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04"/>
      <c r="EZ300" s="104"/>
      <c r="FA300" s="104"/>
      <c r="FB300" s="104"/>
      <c r="FC300" s="104"/>
      <c r="FD300" s="104"/>
      <c r="FE300" s="104"/>
      <c r="FF300" s="104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  <c r="HO300" s="104"/>
      <c r="HP300" s="104"/>
      <c r="HQ300" s="104"/>
      <c r="HR300" s="104"/>
      <c r="HS300" s="104"/>
      <c r="HT300" s="104"/>
      <c r="HU300" s="104"/>
      <c r="HV300" s="104"/>
      <c r="HW300" s="104"/>
      <c r="HX300" s="104"/>
      <c r="HY300" s="104"/>
      <c r="HZ300" s="104"/>
      <c r="IA300" s="104"/>
      <c r="IB300" s="104"/>
      <c r="IC300" s="104"/>
      <c r="ID300" s="104"/>
      <c r="IE300" s="104"/>
      <c r="IF300" s="104"/>
      <c r="IG300" s="104"/>
      <c r="IH300" s="104"/>
      <c r="II300" s="104"/>
      <c r="IJ300" s="104"/>
      <c r="IK300" s="104"/>
      <c r="IL300" s="104"/>
      <c r="IM300" s="104"/>
      <c r="IN300" s="104"/>
      <c r="IO300" s="104"/>
      <c r="IP300" s="104"/>
      <c r="IQ300" s="104"/>
      <c r="IR300" s="104"/>
      <c r="IS300" s="104"/>
      <c r="IT300" s="104"/>
      <c r="IU300" s="104"/>
      <c r="IV300" s="104"/>
      <c r="IW300" s="104"/>
      <c r="IX300" s="104"/>
      <c r="IY300" s="104"/>
      <c r="IZ300" s="104"/>
      <c r="JA300" s="104"/>
    </row>
    <row r="301" spans="2:261" x14ac:dyDescent="0.2">
      <c r="B301" s="104"/>
      <c r="C301" s="104"/>
      <c r="D301" s="104"/>
      <c r="E301" s="104"/>
      <c r="F301" s="104"/>
      <c r="G301" s="104"/>
      <c r="H301" s="104"/>
      <c r="I301" s="104"/>
      <c r="J301" s="151"/>
      <c r="K301" s="104"/>
      <c r="L301" s="104"/>
      <c r="M301" s="104"/>
      <c r="N301" s="151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  <c r="DF301" s="104"/>
      <c r="DG301" s="104"/>
      <c r="DH301" s="104"/>
      <c r="DI301" s="104"/>
      <c r="DJ301" s="104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04"/>
      <c r="EZ301" s="104"/>
      <c r="FA301" s="104"/>
      <c r="FB301" s="104"/>
      <c r="FC301" s="104"/>
      <c r="FD301" s="104"/>
      <c r="FE301" s="104"/>
      <c r="FF301" s="104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  <c r="HO301" s="104"/>
      <c r="HP301" s="104"/>
      <c r="HQ301" s="104"/>
      <c r="HR301" s="104"/>
      <c r="HS301" s="104"/>
      <c r="HT301" s="104"/>
      <c r="HU301" s="104"/>
      <c r="HV301" s="104"/>
      <c r="HW301" s="104"/>
      <c r="HX301" s="104"/>
      <c r="HY301" s="104"/>
      <c r="HZ301" s="104"/>
      <c r="IA301" s="104"/>
      <c r="IB301" s="104"/>
      <c r="IC301" s="104"/>
      <c r="ID301" s="104"/>
      <c r="IE301" s="104"/>
      <c r="IF301" s="104"/>
      <c r="IG301" s="104"/>
      <c r="IH301" s="104"/>
      <c r="II301" s="104"/>
      <c r="IJ301" s="104"/>
      <c r="IK301" s="104"/>
      <c r="IL301" s="104"/>
      <c r="IM301" s="104"/>
      <c r="IN301" s="104"/>
      <c r="IO301" s="104"/>
      <c r="IP301" s="104"/>
      <c r="IQ301" s="104"/>
      <c r="IR301" s="104"/>
      <c r="IS301" s="104"/>
      <c r="IT301" s="104"/>
      <c r="IU301" s="104"/>
      <c r="IV301" s="104"/>
      <c r="IW301" s="104"/>
      <c r="IX301" s="104"/>
      <c r="IY301" s="104"/>
      <c r="IZ301" s="104"/>
      <c r="JA301" s="104"/>
    </row>
    <row r="302" spans="2:261" x14ac:dyDescent="0.2">
      <c r="B302" s="104"/>
      <c r="C302" s="104"/>
      <c r="D302" s="104"/>
      <c r="E302" s="104"/>
      <c r="F302" s="104"/>
      <c r="G302" s="104"/>
      <c r="H302" s="104"/>
      <c r="I302" s="104"/>
      <c r="J302" s="151"/>
      <c r="K302" s="104"/>
      <c r="L302" s="104"/>
      <c r="M302" s="104"/>
      <c r="N302" s="151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4"/>
      <c r="DB302" s="104"/>
      <c r="DC302" s="104"/>
      <c r="DD302" s="104"/>
      <c r="DE302" s="104"/>
      <c r="DF302" s="104"/>
      <c r="DG302" s="104"/>
      <c r="DH302" s="104"/>
      <c r="DI302" s="104"/>
      <c r="DJ302" s="104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104"/>
      <c r="DV302" s="104"/>
      <c r="DW302" s="104"/>
      <c r="DX302" s="104"/>
      <c r="DY302" s="104"/>
      <c r="DZ302" s="104"/>
      <c r="EA302" s="104"/>
      <c r="EB302" s="104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04"/>
      <c r="EZ302" s="104"/>
      <c r="FA302" s="104"/>
      <c r="FB302" s="104"/>
      <c r="FC302" s="104"/>
      <c r="FD302" s="104"/>
      <c r="FE302" s="104"/>
      <c r="FF302" s="104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  <c r="HO302" s="104"/>
      <c r="HP302" s="104"/>
      <c r="HQ302" s="104"/>
      <c r="HR302" s="104"/>
      <c r="HS302" s="104"/>
      <c r="HT302" s="104"/>
      <c r="HU302" s="104"/>
      <c r="HV302" s="104"/>
      <c r="HW302" s="104"/>
      <c r="HX302" s="104"/>
      <c r="HY302" s="104"/>
      <c r="HZ302" s="104"/>
      <c r="IA302" s="104"/>
      <c r="IB302" s="104"/>
      <c r="IC302" s="104"/>
      <c r="ID302" s="104"/>
      <c r="IE302" s="104"/>
      <c r="IF302" s="104"/>
      <c r="IG302" s="104"/>
      <c r="IH302" s="104"/>
      <c r="II302" s="104"/>
      <c r="IJ302" s="104"/>
      <c r="IK302" s="104"/>
      <c r="IL302" s="104"/>
      <c r="IM302" s="104"/>
      <c r="IN302" s="104"/>
      <c r="IO302" s="104"/>
      <c r="IP302" s="104"/>
      <c r="IQ302" s="104"/>
      <c r="IR302" s="104"/>
      <c r="IS302" s="104"/>
      <c r="IT302" s="104"/>
      <c r="IU302" s="104"/>
      <c r="IV302" s="104"/>
      <c r="IW302" s="104"/>
      <c r="IX302" s="104"/>
      <c r="IY302" s="104"/>
      <c r="IZ302" s="104"/>
      <c r="JA302" s="104"/>
    </row>
    <row r="303" spans="2:261" x14ac:dyDescent="0.2">
      <c r="B303" s="104"/>
      <c r="C303" s="104"/>
      <c r="D303" s="104"/>
      <c r="E303" s="104"/>
      <c r="F303" s="104"/>
      <c r="G303" s="104"/>
      <c r="H303" s="104"/>
      <c r="I303" s="104"/>
      <c r="J303" s="151"/>
      <c r="K303" s="104"/>
      <c r="L303" s="104"/>
      <c r="M303" s="104"/>
      <c r="N303" s="151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D303" s="104"/>
      <c r="DE303" s="104"/>
      <c r="DF303" s="104"/>
      <c r="DG303" s="104"/>
      <c r="DH303" s="104"/>
      <c r="DI303" s="104"/>
      <c r="DJ303" s="104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104"/>
      <c r="DV303" s="104"/>
      <c r="DW303" s="104"/>
      <c r="DX303" s="104"/>
      <c r="DY303" s="104"/>
      <c r="DZ303" s="104"/>
      <c r="EA303" s="104"/>
      <c r="EB303" s="104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4"/>
      <c r="FA303" s="104"/>
      <c r="FB303" s="104"/>
      <c r="FC303" s="104"/>
      <c r="FD303" s="104"/>
      <c r="FE303" s="104"/>
      <c r="FF303" s="104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  <c r="HO303" s="104"/>
      <c r="HP303" s="104"/>
      <c r="HQ303" s="104"/>
      <c r="HR303" s="104"/>
      <c r="HS303" s="104"/>
      <c r="HT303" s="104"/>
      <c r="HU303" s="104"/>
      <c r="HV303" s="104"/>
      <c r="HW303" s="104"/>
      <c r="HX303" s="104"/>
      <c r="HY303" s="104"/>
      <c r="HZ303" s="104"/>
      <c r="IA303" s="104"/>
      <c r="IB303" s="104"/>
      <c r="IC303" s="104"/>
      <c r="ID303" s="104"/>
      <c r="IE303" s="104"/>
      <c r="IF303" s="104"/>
      <c r="IG303" s="104"/>
      <c r="IH303" s="104"/>
      <c r="II303" s="104"/>
      <c r="IJ303" s="104"/>
      <c r="IK303" s="104"/>
      <c r="IL303" s="104"/>
      <c r="IM303" s="104"/>
      <c r="IN303" s="104"/>
      <c r="IO303" s="104"/>
      <c r="IP303" s="104"/>
      <c r="IQ303" s="104"/>
      <c r="IR303" s="104"/>
      <c r="IS303" s="104"/>
      <c r="IT303" s="104"/>
      <c r="IU303" s="104"/>
      <c r="IV303" s="104"/>
      <c r="IW303" s="104"/>
      <c r="IX303" s="104"/>
      <c r="IY303" s="104"/>
      <c r="IZ303" s="104"/>
      <c r="JA303" s="104"/>
    </row>
    <row r="304" spans="2:261" x14ac:dyDescent="0.2">
      <c r="B304" s="104"/>
      <c r="C304" s="104"/>
      <c r="D304" s="104"/>
      <c r="E304" s="104"/>
      <c r="F304" s="104"/>
      <c r="G304" s="104"/>
      <c r="H304" s="104"/>
      <c r="I304" s="104"/>
      <c r="J304" s="151"/>
      <c r="K304" s="104"/>
      <c r="L304" s="104"/>
      <c r="M304" s="104"/>
      <c r="N304" s="151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04"/>
      <c r="EZ304" s="104"/>
      <c r="FA304" s="104"/>
      <c r="FB304" s="104"/>
      <c r="FC304" s="104"/>
      <c r="FD304" s="104"/>
      <c r="FE304" s="104"/>
      <c r="FF304" s="104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  <c r="HO304" s="104"/>
      <c r="HP304" s="104"/>
      <c r="HQ304" s="104"/>
      <c r="HR304" s="104"/>
      <c r="HS304" s="104"/>
      <c r="HT304" s="104"/>
      <c r="HU304" s="104"/>
      <c r="HV304" s="104"/>
      <c r="HW304" s="104"/>
      <c r="HX304" s="104"/>
      <c r="HY304" s="104"/>
      <c r="HZ304" s="104"/>
      <c r="IA304" s="104"/>
      <c r="IB304" s="104"/>
      <c r="IC304" s="104"/>
      <c r="ID304" s="104"/>
      <c r="IE304" s="104"/>
      <c r="IF304" s="104"/>
      <c r="IG304" s="104"/>
      <c r="IH304" s="104"/>
      <c r="II304" s="104"/>
      <c r="IJ304" s="104"/>
      <c r="IK304" s="104"/>
      <c r="IL304" s="104"/>
      <c r="IM304" s="104"/>
      <c r="IN304" s="104"/>
      <c r="IO304" s="104"/>
      <c r="IP304" s="104"/>
      <c r="IQ304" s="104"/>
      <c r="IR304" s="104"/>
      <c r="IS304" s="104"/>
      <c r="IT304" s="104"/>
      <c r="IU304" s="104"/>
      <c r="IV304" s="104"/>
      <c r="IW304" s="104"/>
      <c r="IX304" s="104"/>
      <c r="IY304" s="104"/>
      <c r="IZ304" s="104"/>
      <c r="JA304" s="104"/>
    </row>
    <row r="305" spans="2:261" x14ac:dyDescent="0.2">
      <c r="B305" s="104"/>
      <c r="C305" s="104"/>
      <c r="D305" s="104"/>
      <c r="E305" s="104"/>
      <c r="F305" s="104"/>
      <c r="G305" s="104"/>
      <c r="H305" s="104"/>
      <c r="I305" s="104"/>
      <c r="J305" s="151"/>
      <c r="K305" s="104"/>
      <c r="L305" s="104"/>
      <c r="M305" s="104"/>
      <c r="N305" s="151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D305" s="104"/>
      <c r="DE305" s="104"/>
      <c r="DF305" s="104"/>
      <c r="DG305" s="104"/>
      <c r="DH305" s="104"/>
      <c r="DI305" s="104"/>
      <c r="DJ305" s="104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104"/>
      <c r="DV305" s="104"/>
      <c r="DW305" s="104"/>
      <c r="DX305" s="104"/>
      <c r="DY305" s="104"/>
      <c r="DZ305" s="104"/>
      <c r="EA305" s="104"/>
      <c r="EB305" s="104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04"/>
      <c r="EZ305" s="104"/>
      <c r="FA305" s="104"/>
      <c r="FB305" s="104"/>
      <c r="FC305" s="104"/>
      <c r="FD305" s="104"/>
      <c r="FE305" s="104"/>
      <c r="FF305" s="104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  <c r="HO305" s="104"/>
      <c r="HP305" s="104"/>
      <c r="HQ305" s="104"/>
      <c r="HR305" s="104"/>
      <c r="HS305" s="104"/>
      <c r="HT305" s="104"/>
      <c r="HU305" s="104"/>
      <c r="HV305" s="104"/>
      <c r="HW305" s="104"/>
      <c r="HX305" s="104"/>
      <c r="HY305" s="104"/>
      <c r="HZ305" s="104"/>
      <c r="IA305" s="104"/>
      <c r="IB305" s="104"/>
      <c r="IC305" s="104"/>
      <c r="ID305" s="104"/>
      <c r="IE305" s="104"/>
      <c r="IF305" s="104"/>
      <c r="IG305" s="104"/>
      <c r="IH305" s="104"/>
      <c r="II305" s="104"/>
      <c r="IJ305" s="104"/>
      <c r="IK305" s="104"/>
      <c r="IL305" s="104"/>
      <c r="IM305" s="104"/>
      <c r="IN305" s="104"/>
      <c r="IO305" s="104"/>
      <c r="IP305" s="104"/>
      <c r="IQ305" s="104"/>
      <c r="IR305" s="104"/>
      <c r="IS305" s="104"/>
      <c r="IT305" s="104"/>
      <c r="IU305" s="104"/>
      <c r="IV305" s="104"/>
      <c r="IW305" s="104"/>
      <c r="IX305" s="104"/>
      <c r="IY305" s="104"/>
      <c r="IZ305" s="104"/>
      <c r="JA305" s="104"/>
    </row>
    <row r="306" spans="2:261" x14ac:dyDescent="0.2">
      <c r="B306" s="104"/>
      <c r="C306" s="104"/>
      <c r="D306" s="104"/>
      <c r="E306" s="104"/>
      <c r="F306" s="104"/>
      <c r="G306" s="104"/>
      <c r="H306" s="104"/>
      <c r="I306" s="104"/>
      <c r="J306" s="151"/>
      <c r="K306" s="104"/>
      <c r="L306" s="104"/>
      <c r="M306" s="104"/>
      <c r="N306" s="151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D306" s="104"/>
      <c r="DE306" s="104"/>
      <c r="DF306" s="104"/>
      <c r="DG306" s="104"/>
      <c r="DH306" s="104"/>
      <c r="DI306" s="104"/>
      <c r="DJ306" s="104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104"/>
      <c r="DV306" s="104"/>
      <c r="DW306" s="104"/>
      <c r="DX306" s="104"/>
      <c r="DY306" s="104"/>
      <c r="DZ306" s="104"/>
      <c r="EA306" s="104"/>
      <c r="EB306" s="104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04"/>
      <c r="EZ306" s="104"/>
      <c r="FA306" s="104"/>
      <c r="FB306" s="104"/>
      <c r="FC306" s="104"/>
      <c r="FD306" s="104"/>
      <c r="FE306" s="104"/>
      <c r="FF306" s="104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  <c r="HO306" s="104"/>
      <c r="HP306" s="104"/>
      <c r="HQ306" s="104"/>
      <c r="HR306" s="104"/>
      <c r="HS306" s="104"/>
      <c r="HT306" s="104"/>
      <c r="HU306" s="104"/>
      <c r="HV306" s="104"/>
      <c r="HW306" s="104"/>
      <c r="HX306" s="104"/>
      <c r="HY306" s="104"/>
      <c r="HZ306" s="104"/>
      <c r="IA306" s="104"/>
      <c r="IB306" s="104"/>
      <c r="IC306" s="104"/>
      <c r="ID306" s="104"/>
      <c r="IE306" s="104"/>
      <c r="IF306" s="104"/>
      <c r="IG306" s="104"/>
      <c r="IH306" s="104"/>
      <c r="II306" s="104"/>
      <c r="IJ306" s="104"/>
      <c r="IK306" s="104"/>
      <c r="IL306" s="104"/>
      <c r="IM306" s="104"/>
      <c r="IN306" s="104"/>
      <c r="IO306" s="104"/>
      <c r="IP306" s="104"/>
      <c r="IQ306" s="104"/>
      <c r="IR306" s="104"/>
      <c r="IS306" s="104"/>
      <c r="IT306" s="104"/>
      <c r="IU306" s="104"/>
      <c r="IV306" s="104"/>
      <c r="IW306" s="104"/>
      <c r="IX306" s="104"/>
      <c r="IY306" s="104"/>
      <c r="IZ306" s="104"/>
      <c r="JA306" s="104"/>
    </row>
    <row r="307" spans="2:261" x14ac:dyDescent="0.2">
      <c r="B307" s="104"/>
      <c r="C307" s="104"/>
      <c r="D307" s="104"/>
      <c r="E307" s="104"/>
      <c r="F307" s="104"/>
      <c r="G307" s="104"/>
      <c r="H307" s="104"/>
      <c r="I307" s="104"/>
      <c r="J307" s="151"/>
      <c r="K307" s="104"/>
      <c r="L307" s="104"/>
      <c r="M307" s="104"/>
      <c r="N307" s="151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4"/>
      <c r="FA307" s="104"/>
      <c r="FB307" s="104"/>
      <c r="FC307" s="104"/>
      <c r="FD307" s="104"/>
      <c r="FE307" s="104"/>
      <c r="FF307" s="104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  <c r="HO307" s="104"/>
      <c r="HP307" s="104"/>
      <c r="HQ307" s="104"/>
      <c r="HR307" s="104"/>
      <c r="HS307" s="104"/>
      <c r="HT307" s="104"/>
      <c r="HU307" s="104"/>
      <c r="HV307" s="104"/>
      <c r="HW307" s="104"/>
      <c r="HX307" s="104"/>
      <c r="HY307" s="104"/>
      <c r="HZ307" s="104"/>
      <c r="IA307" s="104"/>
      <c r="IB307" s="104"/>
      <c r="IC307" s="104"/>
      <c r="ID307" s="104"/>
      <c r="IE307" s="104"/>
      <c r="IF307" s="104"/>
      <c r="IG307" s="104"/>
      <c r="IH307" s="104"/>
      <c r="II307" s="104"/>
      <c r="IJ307" s="104"/>
      <c r="IK307" s="104"/>
      <c r="IL307" s="104"/>
      <c r="IM307" s="104"/>
      <c r="IN307" s="104"/>
      <c r="IO307" s="104"/>
      <c r="IP307" s="104"/>
      <c r="IQ307" s="104"/>
      <c r="IR307" s="104"/>
      <c r="IS307" s="104"/>
      <c r="IT307" s="104"/>
      <c r="IU307" s="104"/>
      <c r="IV307" s="104"/>
      <c r="IW307" s="104"/>
      <c r="IX307" s="104"/>
      <c r="IY307" s="104"/>
      <c r="IZ307" s="104"/>
      <c r="JA307" s="104"/>
    </row>
    <row r="308" spans="2:261" x14ac:dyDescent="0.2">
      <c r="B308" s="104"/>
      <c r="C308" s="104"/>
      <c r="D308" s="104"/>
      <c r="E308" s="104"/>
      <c r="F308" s="104"/>
      <c r="G308" s="104"/>
      <c r="H308" s="104"/>
      <c r="I308" s="104"/>
      <c r="J308" s="151"/>
      <c r="K308" s="104"/>
      <c r="L308" s="104"/>
      <c r="M308" s="104"/>
      <c r="N308" s="151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D308" s="104"/>
      <c r="DE308" s="104"/>
      <c r="DF308" s="104"/>
      <c r="DG308" s="104"/>
      <c r="DH308" s="104"/>
      <c r="DI308" s="104"/>
      <c r="DJ308" s="104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104"/>
      <c r="DV308" s="104"/>
      <c r="DW308" s="104"/>
      <c r="DX308" s="104"/>
      <c r="DY308" s="104"/>
      <c r="DZ308" s="104"/>
      <c r="EA308" s="104"/>
      <c r="EB308" s="104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04"/>
      <c r="EZ308" s="104"/>
      <c r="FA308" s="104"/>
      <c r="FB308" s="104"/>
      <c r="FC308" s="104"/>
      <c r="FD308" s="104"/>
      <c r="FE308" s="104"/>
      <c r="FF308" s="104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  <c r="HO308" s="104"/>
      <c r="HP308" s="104"/>
      <c r="HQ308" s="104"/>
      <c r="HR308" s="104"/>
      <c r="HS308" s="104"/>
      <c r="HT308" s="104"/>
      <c r="HU308" s="104"/>
      <c r="HV308" s="104"/>
      <c r="HW308" s="104"/>
      <c r="HX308" s="104"/>
      <c r="HY308" s="104"/>
      <c r="HZ308" s="104"/>
      <c r="IA308" s="104"/>
      <c r="IB308" s="104"/>
      <c r="IC308" s="104"/>
      <c r="ID308" s="104"/>
      <c r="IE308" s="104"/>
      <c r="IF308" s="104"/>
      <c r="IG308" s="104"/>
      <c r="IH308" s="104"/>
      <c r="II308" s="104"/>
      <c r="IJ308" s="104"/>
      <c r="IK308" s="104"/>
      <c r="IL308" s="104"/>
      <c r="IM308" s="104"/>
      <c r="IN308" s="104"/>
      <c r="IO308" s="104"/>
      <c r="IP308" s="104"/>
      <c r="IQ308" s="104"/>
      <c r="IR308" s="104"/>
      <c r="IS308" s="104"/>
      <c r="IT308" s="104"/>
      <c r="IU308" s="104"/>
      <c r="IV308" s="104"/>
      <c r="IW308" s="104"/>
      <c r="IX308" s="104"/>
      <c r="IY308" s="104"/>
      <c r="IZ308" s="104"/>
      <c r="JA308" s="104"/>
    </row>
    <row r="309" spans="2:261" x14ac:dyDescent="0.2">
      <c r="B309" s="104"/>
      <c r="C309" s="104"/>
      <c r="D309" s="104"/>
      <c r="E309" s="104"/>
      <c r="F309" s="104"/>
      <c r="G309" s="104"/>
      <c r="H309" s="104"/>
      <c r="I309" s="104"/>
      <c r="J309" s="151"/>
      <c r="K309" s="104"/>
      <c r="L309" s="104"/>
      <c r="M309" s="104"/>
      <c r="N309" s="151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  <c r="HO309" s="104"/>
      <c r="HP309" s="104"/>
      <c r="HQ309" s="104"/>
      <c r="HR309" s="104"/>
      <c r="HS309" s="104"/>
      <c r="HT309" s="104"/>
      <c r="HU309" s="104"/>
      <c r="HV309" s="104"/>
      <c r="HW309" s="104"/>
      <c r="HX309" s="104"/>
      <c r="HY309" s="104"/>
      <c r="HZ309" s="104"/>
      <c r="IA309" s="104"/>
      <c r="IB309" s="104"/>
      <c r="IC309" s="104"/>
      <c r="ID309" s="104"/>
      <c r="IE309" s="104"/>
      <c r="IF309" s="104"/>
      <c r="IG309" s="104"/>
      <c r="IH309" s="104"/>
      <c r="II309" s="104"/>
      <c r="IJ309" s="104"/>
      <c r="IK309" s="104"/>
      <c r="IL309" s="104"/>
      <c r="IM309" s="104"/>
      <c r="IN309" s="104"/>
      <c r="IO309" s="104"/>
      <c r="IP309" s="104"/>
      <c r="IQ309" s="104"/>
      <c r="IR309" s="104"/>
      <c r="IS309" s="104"/>
      <c r="IT309" s="104"/>
      <c r="IU309" s="104"/>
      <c r="IV309" s="104"/>
      <c r="IW309" s="104"/>
      <c r="IX309" s="104"/>
      <c r="IY309" s="104"/>
      <c r="IZ309" s="104"/>
      <c r="JA309" s="104"/>
    </row>
    <row r="310" spans="2:261" x14ac:dyDescent="0.2">
      <c r="B310" s="104"/>
      <c r="C310" s="104"/>
      <c r="D310" s="104"/>
      <c r="E310" s="104"/>
      <c r="F310" s="104"/>
      <c r="G310" s="104"/>
      <c r="H310" s="104"/>
      <c r="I310" s="104"/>
      <c r="J310" s="151"/>
      <c r="K310" s="104"/>
      <c r="L310" s="104"/>
      <c r="M310" s="104"/>
      <c r="N310" s="151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D310" s="104"/>
      <c r="DE310" s="104"/>
      <c r="DF310" s="104"/>
      <c r="DG310" s="104"/>
      <c r="DH310" s="104"/>
      <c r="DI310" s="104"/>
      <c r="DJ310" s="104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104"/>
      <c r="DV310" s="104"/>
      <c r="DW310" s="104"/>
      <c r="DX310" s="104"/>
      <c r="DY310" s="104"/>
      <c r="DZ310" s="104"/>
      <c r="EA310" s="104"/>
      <c r="EB310" s="104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04"/>
      <c r="EZ310" s="104"/>
      <c r="FA310" s="104"/>
      <c r="FB310" s="104"/>
      <c r="FC310" s="104"/>
      <c r="FD310" s="104"/>
      <c r="FE310" s="104"/>
      <c r="FF310" s="104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  <c r="HO310" s="104"/>
      <c r="HP310" s="104"/>
      <c r="HQ310" s="104"/>
      <c r="HR310" s="104"/>
      <c r="HS310" s="104"/>
      <c r="HT310" s="104"/>
      <c r="HU310" s="104"/>
      <c r="HV310" s="104"/>
      <c r="HW310" s="104"/>
      <c r="HX310" s="104"/>
      <c r="HY310" s="104"/>
      <c r="HZ310" s="104"/>
      <c r="IA310" s="104"/>
      <c r="IB310" s="104"/>
      <c r="IC310" s="104"/>
      <c r="ID310" s="104"/>
      <c r="IE310" s="104"/>
      <c r="IF310" s="104"/>
      <c r="IG310" s="104"/>
      <c r="IH310" s="104"/>
      <c r="II310" s="104"/>
      <c r="IJ310" s="104"/>
      <c r="IK310" s="104"/>
      <c r="IL310" s="104"/>
      <c r="IM310" s="104"/>
      <c r="IN310" s="104"/>
      <c r="IO310" s="104"/>
      <c r="IP310" s="104"/>
      <c r="IQ310" s="104"/>
      <c r="IR310" s="104"/>
      <c r="IS310" s="104"/>
      <c r="IT310" s="104"/>
      <c r="IU310" s="104"/>
      <c r="IV310" s="104"/>
      <c r="IW310" s="104"/>
      <c r="IX310" s="104"/>
      <c r="IY310" s="104"/>
      <c r="IZ310" s="104"/>
      <c r="JA310" s="104"/>
    </row>
    <row r="311" spans="2:261" x14ac:dyDescent="0.2">
      <c r="B311" s="104"/>
      <c r="C311" s="104"/>
      <c r="D311" s="104"/>
      <c r="E311" s="104"/>
      <c r="F311" s="104"/>
      <c r="G311" s="104"/>
      <c r="H311" s="104"/>
      <c r="I311" s="104"/>
      <c r="J311" s="151"/>
      <c r="K311" s="104"/>
      <c r="L311" s="104"/>
      <c r="M311" s="104"/>
      <c r="N311" s="151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4"/>
      <c r="FA311" s="104"/>
      <c r="FB311" s="104"/>
      <c r="FC311" s="104"/>
      <c r="FD311" s="104"/>
      <c r="FE311" s="104"/>
      <c r="FF311" s="104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  <c r="HO311" s="104"/>
      <c r="HP311" s="104"/>
      <c r="HQ311" s="104"/>
      <c r="HR311" s="104"/>
      <c r="HS311" s="104"/>
      <c r="HT311" s="104"/>
      <c r="HU311" s="104"/>
      <c r="HV311" s="104"/>
      <c r="HW311" s="104"/>
      <c r="HX311" s="104"/>
      <c r="HY311" s="104"/>
      <c r="HZ311" s="104"/>
      <c r="IA311" s="104"/>
      <c r="IB311" s="104"/>
      <c r="IC311" s="104"/>
      <c r="ID311" s="104"/>
      <c r="IE311" s="104"/>
      <c r="IF311" s="104"/>
      <c r="IG311" s="104"/>
      <c r="IH311" s="104"/>
      <c r="II311" s="104"/>
      <c r="IJ311" s="104"/>
      <c r="IK311" s="104"/>
      <c r="IL311" s="104"/>
      <c r="IM311" s="104"/>
      <c r="IN311" s="104"/>
      <c r="IO311" s="104"/>
      <c r="IP311" s="104"/>
      <c r="IQ311" s="104"/>
      <c r="IR311" s="104"/>
      <c r="IS311" s="104"/>
      <c r="IT311" s="104"/>
      <c r="IU311" s="104"/>
      <c r="IV311" s="104"/>
      <c r="IW311" s="104"/>
      <c r="IX311" s="104"/>
      <c r="IY311" s="104"/>
      <c r="IZ311" s="104"/>
      <c r="JA311" s="104"/>
    </row>
    <row r="312" spans="2:261" x14ac:dyDescent="0.2">
      <c r="B312" s="104"/>
      <c r="C312" s="104"/>
      <c r="D312" s="104"/>
      <c r="E312" s="104"/>
      <c r="F312" s="104"/>
      <c r="G312" s="104"/>
      <c r="H312" s="104"/>
      <c r="I312" s="104"/>
      <c r="J312" s="151"/>
      <c r="K312" s="104"/>
      <c r="L312" s="104"/>
      <c r="M312" s="104"/>
      <c r="N312" s="151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  <c r="CH312" s="104"/>
      <c r="CI312" s="104"/>
      <c r="CJ312" s="104"/>
      <c r="CK312" s="104"/>
      <c r="CL312" s="104"/>
      <c r="CM312" s="104"/>
      <c r="CN312" s="104"/>
      <c r="CO312" s="104"/>
      <c r="CP312" s="104"/>
      <c r="CQ312" s="104"/>
      <c r="CR312" s="104"/>
      <c r="CS312" s="104"/>
      <c r="CT312" s="104"/>
      <c r="CU312" s="104"/>
      <c r="CV312" s="104"/>
      <c r="CW312" s="104"/>
      <c r="CX312" s="104"/>
      <c r="CY312" s="104"/>
      <c r="CZ312" s="104"/>
      <c r="DA312" s="104"/>
      <c r="DB312" s="104"/>
      <c r="DC312" s="104"/>
      <c r="DD312" s="104"/>
      <c r="DE312" s="104"/>
      <c r="DF312" s="104"/>
      <c r="DG312" s="104"/>
      <c r="DH312" s="104"/>
      <c r="DI312" s="104"/>
      <c r="DJ312" s="104"/>
      <c r="DK312" s="104"/>
      <c r="DL312" s="104"/>
      <c r="DM312" s="104"/>
      <c r="DN312" s="104"/>
      <c r="DO312" s="104"/>
      <c r="DP312" s="104"/>
      <c r="DQ312" s="104"/>
      <c r="DR312" s="104"/>
      <c r="DS312" s="104"/>
      <c r="DT312" s="104"/>
      <c r="DU312" s="104"/>
      <c r="DV312" s="104"/>
      <c r="DW312" s="104"/>
      <c r="DX312" s="104"/>
      <c r="DY312" s="104"/>
      <c r="DZ312" s="104"/>
      <c r="EA312" s="104"/>
      <c r="EB312" s="104"/>
      <c r="EC312" s="104"/>
      <c r="ED312" s="104"/>
      <c r="EE312" s="104"/>
      <c r="EF312" s="104"/>
      <c r="EG312" s="104"/>
      <c r="EH312" s="104"/>
      <c r="EI312" s="104"/>
      <c r="EJ312" s="104"/>
      <c r="EK312" s="104"/>
      <c r="EL312" s="104"/>
      <c r="EM312" s="104"/>
      <c r="EN312" s="104"/>
      <c r="EO312" s="104"/>
      <c r="EP312" s="104"/>
      <c r="EQ312" s="104"/>
      <c r="ER312" s="104"/>
      <c r="ES312" s="104"/>
      <c r="ET312" s="104"/>
      <c r="EU312" s="104"/>
      <c r="EV312" s="104"/>
      <c r="EW312" s="104"/>
      <c r="EX312" s="104"/>
      <c r="EY312" s="104"/>
      <c r="EZ312" s="104"/>
      <c r="FA312" s="104"/>
      <c r="FB312" s="104"/>
      <c r="FC312" s="104"/>
      <c r="FD312" s="104"/>
      <c r="FE312" s="104"/>
      <c r="FF312" s="104"/>
      <c r="FG312" s="104"/>
      <c r="FH312" s="104"/>
      <c r="FI312" s="104"/>
      <c r="FJ312" s="104"/>
      <c r="FK312" s="104"/>
      <c r="FL312" s="104"/>
      <c r="FM312" s="104"/>
      <c r="FN312" s="104"/>
      <c r="FO312" s="104"/>
      <c r="FP312" s="104"/>
      <c r="FQ312" s="104"/>
      <c r="FR312" s="104"/>
      <c r="FS312" s="104"/>
      <c r="FT312" s="104"/>
      <c r="FU312" s="104"/>
      <c r="FV312" s="104"/>
      <c r="FW312" s="104"/>
      <c r="FX312" s="104"/>
      <c r="FY312" s="104"/>
      <c r="FZ312" s="104"/>
      <c r="GA312" s="104"/>
      <c r="GB312" s="104"/>
      <c r="GC312" s="104"/>
      <c r="GD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  <c r="HA312" s="104"/>
      <c r="HB312" s="104"/>
      <c r="HC312" s="104"/>
      <c r="HD312" s="104"/>
      <c r="HE312" s="104"/>
      <c r="HF312" s="104"/>
      <c r="HG312" s="104"/>
      <c r="HH312" s="104"/>
      <c r="HI312" s="104"/>
      <c r="HJ312" s="104"/>
      <c r="HK312" s="104"/>
      <c r="HL312" s="104"/>
      <c r="HM312" s="104"/>
      <c r="HN312" s="104"/>
      <c r="HO312" s="104"/>
      <c r="HP312" s="104"/>
      <c r="HQ312" s="104"/>
      <c r="HR312" s="104"/>
      <c r="HS312" s="104"/>
      <c r="HT312" s="104"/>
      <c r="HU312" s="104"/>
      <c r="HV312" s="104"/>
      <c r="HW312" s="104"/>
      <c r="HX312" s="104"/>
      <c r="HY312" s="104"/>
      <c r="HZ312" s="104"/>
      <c r="IA312" s="104"/>
      <c r="IB312" s="104"/>
      <c r="IC312" s="104"/>
      <c r="ID312" s="104"/>
      <c r="IE312" s="104"/>
      <c r="IF312" s="104"/>
      <c r="IG312" s="104"/>
      <c r="IH312" s="104"/>
      <c r="II312" s="104"/>
      <c r="IJ312" s="104"/>
      <c r="IK312" s="104"/>
      <c r="IL312" s="104"/>
      <c r="IM312" s="104"/>
      <c r="IN312" s="104"/>
      <c r="IO312" s="104"/>
      <c r="IP312" s="104"/>
      <c r="IQ312" s="104"/>
      <c r="IR312" s="104"/>
      <c r="IS312" s="104"/>
      <c r="IT312" s="104"/>
      <c r="IU312" s="104"/>
      <c r="IV312" s="104"/>
      <c r="IW312" s="104"/>
      <c r="IX312" s="104"/>
      <c r="IY312" s="104"/>
      <c r="IZ312" s="104"/>
      <c r="JA312" s="104"/>
    </row>
    <row r="313" spans="2:261" x14ac:dyDescent="0.2">
      <c r="B313" s="104"/>
      <c r="C313" s="104"/>
      <c r="D313" s="104"/>
      <c r="E313" s="104"/>
      <c r="F313" s="104"/>
      <c r="G313" s="104"/>
      <c r="H313" s="104"/>
      <c r="I313" s="104"/>
      <c r="J313" s="151"/>
      <c r="K313" s="104"/>
      <c r="L313" s="104"/>
      <c r="M313" s="104"/>
      <c r="N313" s="151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04"/>
      <c r="EZ313" s="104"/>
      <c r="FA313" s="104"/>
      <c r="FB313" s="104"/>
      <c r="FC313" s="104"/>
      <c r="FD313" s="104"/>
      <c r="FE313" s="104"/>
      <c r="FF313" s="104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  <c r="HO313" s="104"/>
      <c r="HP313" s="104"/>
      <c r="HQ313" s="104"/>
      <c r="HR313" s="104"/>
      <c r="HS313" s="104"/>
      <c r="HT313" s="104"/>
      <c r="HU313" s="104"/>
      <c r="HV313" s="104"/>
      <c r="HW313" s="104"/>
      <c r="HX313" s="104"/>
      <c r="HY313" s="104"/>
      <c r="HZ313" s="104"/>
      <c r="IA313" s="104"/>
      <c r="IB313" s="104"/>
      <c r="IC313" s="104"/>
      <c r="ID313" s="104"/>
      <c r="IE313" s="104"/>
      <c r="IF313" s="104"/>
      <c r="IG313" s="104"/>
      <c r="IH313" s="104"/>
      <c r="II313" s="104"/>
      <c r="IJ313" s="104"/>
      <c r="IK313" s="104"/>
      <c r="IL313" s="104"/>
      <c r="IM313" s="104"/>
      <c r="IN313" s="104"/>
      <c r="IO313" s="104"/>
      <c r="IP313" s="104"/>
      <c r="IQ313" s="104"/>
      <c r="IR313" s="104"/>
      <c r="IS313" s="104"/>
      <c r="IT313" s="104"/>
      <c r="IU313" s="104"/>
      <c r="IV313" s="104"/>
      <c r="IW313" s="104"/>
      <c r="IX313" s="104"/>
      <c r="IY313" s="104"/>
      <c r="IZ313" s="104"/>
      <c r="JA313" s="104"/>
    </row>
    <row r="314" spans="2:261" x14ac:dyDescent="0.2">
      <c r="B314" s="104"/>
      <c r="C314" s="104"/>
      <c r="D314" s="104"/>
      <c r="E314" s="104"/>
      <c r="F314" s="104"/>
      <c r="G314" s="104"/>
      <c r="H314" s="104"/>
      <c r="I314" s="104"/>
      <c r="J314" s="151"/>
      <c r="K314" s="104"/>
      <c r="L314" s="104"/>
      <c r="M314" s="104"/>
      <c r="N314" s="151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D314" s="104"/>
      <c r="DE314" s="104"/>
      <c r="DF314" s="104"/>
      <c r="DG314" s="104"/>
      <c r="DH314" s="104"/>
      <c r="DI314" s="104"/>
      <c r="DJ314" s="104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104"/>
      <c r="DV314" s="104"/>
      <c r="DW314" s="104"/>
      <c r="DX314" s="104"/>
      <c r="DY314" s="104"/>
      <c r="DZ314" s="104"/>
      <c r="EA314" s="104"/>
      <c r="EB314" s="104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04"/>
      <c r="EZ314" s="104"/>
      <c r="FA314" s="104"/>
      <c r="FB314" s="104"/>
      <c r="FC314" s="104"/>
      <c r="FD314" s="104"/>
      <c r="FE314" s="104"/>
      <c r="FF314" s="104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  <c r="HO314" s="104"/>
      <c r="HP314" s="104"/>
      <c r="HQ314" s="104"/>
      <c r="HR314" s="104"/>
      <c r="HS314" s="104"/>
      <c r="HT314" s="104"/>
      <c r="HU314" s="104"/>
      <c r="HV314" s="104"/>
      <c r="HW314" s="104"/>
      <c r="HX314" s="104"/>
      <c r="HY314" s="104"/>
      <c r="HZ314" s="104"/>
      <c r="IA314" s="104"/>
      <c r="IB314" s="104"/>
      <c r="IC314" s="104"/>
      <c r="ID314" s="104"/>
      <c r="IE314" s="104"/>
      <c r="IF314" s="104"/>
      <c r="IG314" s="104"/>
      <c r="IH314" s="104"/>
      <c r="II314" s="104"/>
      <c r="IJ314" s="104"/>
      <c r="IK314" s="104"/>
      <c r="IL314" s="104"/>
      <c r="IM314" s="104"/>
      <c r="IN314" s="104"/>
      <c r="IO314" s="104"/>
      <c r="IP314" s="104"/>
      <c r="IQ314" s="104"/>
      <c r="IR314" s="104"/>
      <c r="IS314" s="104"/>
      <c r="IT314" s="104"/>
      <c r="IU314" s="104"/>
      <c r="IV314" s="104"/>
      <c r="IW314" s="104"/>
      <c r="IX314" s="104"/>
      <c r="IY314" s="104"/>
      <c r="IZ314" s="104"/>
      <c r="JA314" s="104"/>
    </row>
    <row r="315" spans="2:261" x14ac:dyDescent="0.2">
      <c r="B315" s="104"/>
      <c r="C315" s="104"/>
      <c r="D315" s="104"/>
      <c r="E315" s="104"/>
      <c r="F315" s="104"/>
      <c r="G315" s="104"/>
      <c r="H315" s="104"/>
      <c r="I315" s="104"/>
      <c r="J315" s="151"/>
      <c r="K315" s="104"/>
      <c r="L315" s="104"/>
      <c r="M315" s="104"/>
      <c r="N315" s="151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D315" s="104"/>
      <c r="DE315" s="104"/>
      <c r="DF315" s="104"/>
      <c r="DG315" s="104"/>
      <c r="DH315" s="104"/>
      <c r="DI315" s="104"/>
      <c r="DJ315" s="104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104"/>
      <c r="DV315" s="104"/>
      <c r="DW315" s="104"/>
      <c r="DX315" s="104"/>
      <c r="DY315" s="104"/>
      <c r="DZ315" s="104"/>
      <c r="EA315" s="104"/>
      <c r="EB315" s="104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4"/>
      <c r="FA315" s="104"/>
      <c r="FB315" s="104"/>
      <c r="FC315" s="104"/>
      <c r="FD315" s="104"/>
      <c r="FE315" s="104"/>
      <c r="FF315" s="104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  <c r="HO315" s="104"/>
      <c r="HP315" s="104"/>
      <c r="HQ315" s="104"/>
      <c r="HR315" s="104"/>
      <c r="HS315" s="104"/>
      <c r="HT315" s="104"/>
      <c r="HU315" s="104"/>
      <c r="HV315" s="104"/>
      <c r="HW315" s="104"/>
      <c r="HX315" s="104"/>
      <c r="HY315" s="104"/>
      <c r="HZ315" s="104"/>
      <c r="IA315" s="104"/>
      <c r="IB315" s="104"/>
      <c r="IC315" s="104"/>
      <c r="ID315" s="104"/>
      <c r="IE315" s="104"/>
      <c r="IF315" s="104"/>
      <c r="IG315" s="104"/>
      <c r="IH315" s="104"/>
      <c r="II315" s="104"/>
      <c r="IJ315" s="104"/>
      <c r="IK315" s="104"/>
      <c r="IL315" s="104"/>
      <c r="IM315" s="104"/>
      <c r="IN315" s="104"/>
      <c r="IO315" s="104"/>
      <c r="IP315" s="104"/>
      <c r="IQ315" s="104"/>
      <c r="IR315" s="104"/>
      <c r="IS315" s="104"/>
      <c r="IT315" s="104"/>
      <c r="IU315" s="104"/>
      <c r="IV315" s="104"/>
      <c r="IW315" s="104"/>
      <c r="IX315" s="104"/>
      <c r="IY315" s="104"/>
      <c r="IZ315" s="104"/>
      <c r="JA315" s="104"/>
    </row>
    <row r="316" spans="2:261" x14ac:dyDescent="0.2">
      <c r="B316" s="104"/>
      <c r="C316" s="104"/>
      <c r="D316" s="104"/>
      <c r="E316" s="104"/>
      <c r="F316" s="104"/>
      <c r="G316" s="104"/>
      <c r="H316" s="104"/>
      <c r="I316" s="104"/>
      <c r="J316" s="151"/>
      <c r="K316" s="104"/>
      <c r="L316" s="104"/>
      <c r="M316" s="104"/>
      <c r="N316" s="151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4"/>
      <c r="DB316" s="104"/>
      <c r="DC316" s="104"/>
      <c r="DD316" s="104"/>
      <c r="DE316" s="104"/>
      <c r="DF316" s="104"/>
      <c r="DG316" s="104"/>
      <c r="DH316" s="104"/>
      <c r="DI316" s="104"/>
      <c r="DJ316" s="104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104"/>
      <c r="DV316" s="104"/>
      <c r="DW316" s="104"/>
      <c r="DX316" s="104"/>
      <c r="DY316" s="104"/>
      <c r="DZ316" s="104"/>
      <c r="EA316" s="104"/>
      <c r="EB316" s="104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04"/>
      <c r="EZ316" s="104"/>
      <c r="FA316" s="104"/>
      <c r="FB316" s="104"/>
      <c r="FC316" s="104"/>
      <c r="FD316" s="104"/>
      <c r="FE316" s="104"/>
      <c r="FF316" s="104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  <c r="HO316" s="104"/>
      <c r="HP316" s="104"/>
      <c r="HQ316" s="104"/>
      <c r="HR316" s="104"/>
      <c r="HS316" s="104"/>
      <c r="HT316" s="104"/>
      <c r="HU316" s="104"/>
      <c r="HV316" s="104"/>
      <c r="HW316" s="104"/>
      <c r="HX316" s="104"/>
      <c r="HY316" s="104"/>
      <c r="HZ316" s="104"/>
      <c r="IA316" s="104"/>
      <c r="IB316" s="104"/>
      <c r="IC316" s="104"/>
      <c r="ID316" s="104"/>
      <c r="IE316" s="104"/>
      <c r="IF316" s="104"/>
      <c r="IG316" s="104"/>
      <c r="IH316" s="104"/>
      <c r="II316" s="104"/>
      <c r="IJ316" s="104"/>
      <c r="IK316" s="104"/>
      <c r="IL316" s="104"/>
      <c r="IM316" s="104"/>
      <c r="IN316" s="104"/>
      <c r="IO316" s="104"/>
      <c r="IP316" s="104"/>
      <c r="IQ316" s="104"/>
      <c r="IR316" s="104"/>
      <c r="IS316" s="104"/>
      <c r="IT316" s="104"/>
      <c r="IU316" s="104"/>
      <c r="IV316" s="104"/>
      <c r="IW316" s="104"/>
      <c r="IX316" s="104"/>
      <c r="IY316" s="104"/>
      <c r="IZ316" s="104"/>
      <c r="JA316" s="104"/>
    </row>
    <row r="317" spans="2:261" x14ac:dyDescent="0.2">
      <c r="B317" s="104"/>
      <c r="C317" s="104"/>
      <c r="D317" s="104"/>
      <c r="E317" s="104"/>
      <c r="F317" s="104"/>
      <c r="G317" s="104"/>
      <c r="H317" s="104"/>
      <c r="I317" s="104"/>
      <c r="J317" s="151"/>
      <c r="K317" s="104"/>
      <c r="L317" s="104"/>
      <c r="M317" s="104"/>
      <c r="N317" s="151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  <c r="DF317" s="104"/>
      <c r="DG317" s="104"/>
      <c r="DH317" s="104"/>
      <c r="DI317" s="104"/>
      <c r="DJ317" s="104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104"/>
      <c r="DV317" s="104"/>
      <c r="DW317" s="104"/>
      <c r="DX317" s="104"/>
      <c r="DY317" s="104"/>
      <c r="DZ317" s="104"/>
      <c r="EA317" s="104"/>
      <c r="EB317" s="104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04"/>
      <c r="EZ317" s="104"/>
      <c r="FA317" s="104"/>
      <c r="FB317" s="104"/>
      <c r="FC317" s="104"/>
      <c r="FD317" s="104"/>
      <c r="FE317" s="104"/>
      <c r="FF317" s="104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  <c r="HO317" s="104"/>
      <c r="HP317" s="104"/>
      <c r="HQ317" s="104"/>
      <c r="HR317" s="104"/>
      <c r="HS317" s="104"/>
      <c r="HT317" s="104"/>
      <c r="HU317" s="104"/>
      <c r="HV317" s="104"/>
      <c r="HW317" s="104"/>
      <c r="HX317" s="104"/>
      <c r="HY317" s="104"/>
      <c r="HZ317" s="104"/>
      <c r="IA317" s="104"/>
      <c r="IB317" s="104"/>
      <c r="IC317" s="104"/>
      <c r="ID317" s="104"/>
      <c r="IE317" s="104"/>
      <c r="IF317" s="104"/>
      <c r="IG317" s="104"/>
      <c r="IH317" s="104"/>
      <c r="II317" s="104"/>
      <c r="IJ317" s="104"/>
      <c r="IK317" s="104"/>
      <c r="IL317" s="104"/>
      <c r="IM317" s="104"/>
      <c r="IN317" s="104"/>
      <c r="IO317" s="104"/>
      <c r="IP317" s="104"/>
      <c r="IQ317" s="104"/>
      <c r="IR317" s="104"/>
      <c r="IS317" s="104"/>
      <c r="IT317" s="104"/>
      <c r="IU317" s="104"/>
      <c r="IV317" s="104"/>
      <c r="IW317" s="104"/>
      <c r="IX317" s="104"/>
      <c r="IY317" s="104"/>
      <c r="IZ317" s="104"/>
      <c r="JA317" s="104"/>
    </row>
    <row r="318" spans="2:261" x14ac:dyDescent="0.2">
      <c r="B318" s="104"/>
      <c r="C318" s="104"/>
      <c r="D318" s="104"/>
      <c r="E318" s="104"/>
      <c r="F318" s="104"/>
      <c r="G318" s="104"/>
      <c r="H318" s="104"/>
      <c r="I318" s="104"/>
      <c r="J318" s="151"/>
      <c r="K318" s="104"/>
      <c r="L318" s="104"/>
      <c r="M318" s="104"/>
      <c r="N318" s="151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  <c r="DF318" s="104"/>
      <c r="DG318" s="104"/>
      <c r="DH318" s="104"/>
      <c r="DI318" s="104"/>
      <c r="DJ318" s="104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04"/>
      <c r="EZ318" s="104"/>
      <c r="FA318" s="104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  <c r="HO318" s="104"/>
      <c r="HP318" s="104"/>
      <c r="HQ318" s="104"/>
      <c r="HR318" s="104"/>
      <c r="HS318" s="104"/>
      <c r="HT318" s="104"/>
      <c r="HU318" s="104"/>
      <c r="HV318" s="104"/>
      <c r="HW318" s="104"/>
      <c r="HX318" s="104"/>
      <c r="HY318" s="104"/>
      <c r="HZ318" s="104"/>
      <c r="IA318" s="104"/>
      <c r="IB318" s="104"/>
      <c r="IC318" s="104"/>
      <c r="ID318" s="104"/>
      <c r="IE318" s="104"/>
      <c r="IF318" s="104"/>
      <c r="IG318" s="104"/>
      <c r="IH318" s="104"/>
      <c r="II318" s="104"/>
      <c r="IJ318" s="104"/>
      <c r="IK318" s="104"/>
      <c r="IL318" s="104"/>
      <c r="IM318" s="104"/>
      <c r="IN318" s="104"/>
      <c r="IO318" s="104"/>
      <c r="IP318" s="104"/>
      <c r="IQ318" s="104"/>
      <c r="IR318" s="104"/>
      <c r="IS318" s="104"/>
      <c r="IT318" s="104"/>
      <c r="IU318" s="104"/>
      <c r="IV318" s="104"/>
      <c r="IW318" s="104"/>
      <c r="IX318" s="104"/>
      <c r="IY318" s="104"/>
      <c r="IZ318" s="104"/>
      <c r="JA318" s="104"/>
    </row>
    <row r="319" spans="2:261" x14ac:dyDescent="0.2">
      <c r="B319" s="104"/>
      <c r="C319" s="104"/>
      <c r="D319" s="104"/>
      <c r="E319" s="104"/>
      <c r="F319" s="104"/>
      <c r="G319" s="104"/>
      <c r="H319" s="104"/>
      <c r="I319" s="104"/>
      <c r="J319" s="151"/>
      <c r="K319" s="104"/>
      <c r="L319" s="104"/>
      <c r="M319" s="104"/>
      <c r="N319" s="151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4"/>
      <c r="DB319" s="104"/>
      <c r="DC319" s="104"/>
      <c r="DD319" s="104"/>
      <c r="DE319" s="104"/>
      <c r="DF319" s="104"/>
      <c r="DG319" s="104"/>
      <c r="DH319" s="104"/>
      <c r="DI319" s="104"/>
      <c r="DJ319" s="104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104"/>
      <c r="DV319" s="104"/>
      <c r="DW319" s="104"/>
      <c r="DX319" s="104"/>
      <c r="DY319" s="104"/>
      <c r="DZ319" s="104"/>
      <c r="EA319" s="104"/>
      <c r="EB319" s="104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4"/>
      <c r="FA319" s="104"/>
      <c r="FB319" s="104"/>
      <c r="FC319" s="104"/>
      <c r="FD319" s="104"/>
      <c r="FE319" s="104"/>
      <c r="FF319" s="104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  <c r="HO319" s="104"/>
      <c r="HP319" s="104"/>
      <c r="HQ319" s="104"/>
      <c r="HR319" s="104"/>
      <c r="HS319" s="104"/>
      <c r="HT319" s="104"/>
      <c r="HU319" s="104"/>
      <c r="HV319" s="104"/>
      <c r="HW319" s="104"/>
      <c r="HX319" s="104"/>
      <c r="HY319" s="104"/>
      <c r="HZ319" s="104"/>
      <c r="IA319" s="104"/>
      <c r="IB319" s="104"/>
      <c r="IC319" s="104"/>
      <c r="ID319" s="104"/>
      <c r="IE319" s="104"/>
      <c r="IF319" s="104"/>
      <c r="IG319" s="104"/>
      <c r="IH319" s="104"/>
      <c r="II319" s="104"/>
      <c r="IJ319" s="104"/>
      <c r="IK319" s="104"/>
      <c r="IL319" s="104"/>
      <c r="IM319" s="104"/>
      <c r="IN319" s="104"/>
      <c r="IO319" s="104"/>
      <c r="IP319" s="104"/>
      <c r="IQ319" s="104"/>
      <c r="IR319" s="104"/>
      <c r="IS319" s="104"/>
      <c r="IT319" s="104"/>
      <c r="IU319" s="104"/>
      <c r="IV319" s="104"/>
      <c r="IW319" s="104"/>
      <c r="IX319" s="104"/>
      <c r="IY319" s="104"/>
      <c r="IZ319" s="104"/>
      <c r="JA319" s="104"/>
    </row>
    <row r="320" spans="2:261" x14ac:dyDescent="0.2">
      <c r="B320" s="104"/>
      <c r="C320" s="104"/>
      <c r="D320" s="104"/>
      <c r="E320" s="104"/>
      <c r="F320" s="104"/>
      <c r="G320" s="104"/>
      <c r="H320" s="104"/>
      <c r="I320" s="104"/>
      <c r="J320" s="151"/>
      <c r="K320" s="104"/>
      <c r="L320" s="104"/>
      <c r="M320" s="104"/>
      <c r="N320" s="151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  <c r="CH320" s="104"/>
      <c r="CI320" s="104"/>
      <c r="CJ320" s="104"/>
      <c r="CK320" s="104"/>
      <c r="CL320" s="104"/>
      <c r="CM320" s="104"/>
      <c r="CN320" s="104"/>
      <c r="CO320" s="104"/>
      <c r="CP320" s="104"/>
      <c r="CQ320" s="104"/>
      <c r="CR320" s="104"/>
      <c r="CS320" s="104"/>
      <c r="CT320" s="104"/>
      <c r="CU320" s="104"/>
      <c r="CV320" s="104"/>
      <c r="CW320" s="104"/>
      <c r="CX320" s="104"/>
      <c r="CY320" s="104"/>
      <c r="CZ320" s="104"/>
      <c r="DA320" s="104"/>
      <c r="DB320" s="104"/>
      <c r="DC320" s="104"/>
      <c r="DD320" s="104"/>
      <c r="DE320" s="104"/>
      <c r="DF320" s="104"/>
      <c r="DG320" s="104"/>
      <c r="DH320" s="104"/>
      <c r="DI320" s="104"/>
      <c r="DJ320" s="104"/>
      <c r="DK320" s="10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104"/>
      <c r="DV320" s="104"/>
      <c r="DW320" s="104"/>
      <c r="DX320" s="104"/>
      <c r="DY320" s="104"/>
      <c r="DZ320" s="104"/>
      <c r="EA320" s="104"/>
      <c r="EB320" s="104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04"/>
      <c r="EZ320" s="104"/>
      <c r="FA320" s="104"/>
      <c r="FB320" s="104"/>
      <c r="FC320" s="104"/>
      <c r="FD320" s="104"/>
      <c r="FE320" s="104"/>
      <c r="FF320" s="104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  <c r="HO320" s="104"/>
      <c r="HP320" s="104"/>
      <c r="HQ320" s="104"/>
      <c r="HR320" s="104"/>
      <c r="HS320" s="104"/>
      <c r="HT320" s="104"/>
      <c r="HU320" s="104"/>
      <c r="HV320" s="104"/>
      <c r="HW320" s="104"/>
      <c r="HX320" s="104"/>
      <c r="HY320" s="104"/>
      <c r="HZ320" s="104"/>
      <c r="IA320" s="104"/>
      <c r="IB320" s="104"/>
      <c r="IC320" s="104"/>
      <c r="ID320" s="104"/>
      <c r="IE320" s="104"/>
      <c r="IF320" s="104"/>
      <c r="IG320" s="104"/>
      <c r="IH320" s="104"/>
      <c r="II320" s="104"/>
      <c r="IJ320" s="104"/>
      <c r="IK320" s="104"/>
      <c r="IL320" s="104"/>
      <c r="IM320" s="104"/>
      <c r="IN320" s="104"/>
      <c r="IO320" s="104"/>
      <c r="IP320" s="104"/>
      <c r="IQ320" s="104"/>
      <c r="IR320" s="104"/>
      <c r="IS320" s="104"/>
      <c r="IT320" s="104"/>
      <c r="IU320" s="104"/>
      <c r="IV320" s="104"/>
      <c r="IW320" s="104"/>
      <c r="IX320" s="104"/>
      <c r="IY320" s="104"/>
      <c r="IZ320" s="104"/>
      <c r="JA320" s="104"/>
    </row>
    <row r="321" spans="2:261" x14ac:dyDescent="0.2">
      <c r="B321" s="104"/>
      <c r="C321" s="104"/>
      <c r="D321" s="104"/>
      <c r="E321" s="104"/>
      <c r="F321" s="104"/>
      <c r="G321" s="104"/>
      <c r="H321" s="104"/>
      <c r="I321" s="104"/>
      <c r="J321" s="151"/>
      <c r="K321" s="104"/>
      <c r="L321" s="104"/>
      <c r="M321" s="104"/>
      <c r="N321" s="151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  <c r="CH321" s="104"/>
      <c r="CI321" s="104"/>
      <c r="CJ321" s="104"/>
      <c r="CK321" s="104"/>
      <c r="CL321" s="104"/>
      <c r="CM321" s="104"/>
      <c r="CN321" s="104"/>
      <c r="CO321" s="104"/>
      <c r="CP321" s="104"/>
      <c r="CQ321" s="104"/>
      <c r="CR321" s="104"/>
      <c r="CS321" s="104"/>
      <c r="CT321" s="104"/>
      <c r="CU321" s="104"/>
      <c r="CV321" s="104"/>
      <c r="CW321" s="104"/>
      <c r="CX321" s="104"/>
      <c r="CY321" s="104"/>
      <c r="CZ321" s="104"/>
      <c r="DA321" s="104"/>
      <c r="DB321" s="104"/>
      <c r="DC321" s="104"/>
      <c r="DD321" s="104"/>
      <c r="DE321" s="104"/>
      <c r="DF321" s="104"/>
      <c r="DG321" s="104"/>
      <c r="DH321" s="104"/>
      <c r="DI321" s="104"/>
      <c r="DJ321" s="104"/>
      <c r="DK321" s="10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104"/>
      <c r="DV321" s="104"/>
      <c r="DW321" s="104"/>
      <c r="DX321" s="104"/>
      <c r="DY321" s="104"/>
      <c r="DZ321" s="104"/>
      <c r="EA321" s="104"/>
      <c r="EB321" s="104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04"/>
      <c r="EZ321" s="104"/>
      <c r="FA321" s="104"/>
      <c r="FB321" s="104"/>
      <c r="FC321" s="104"/>
      <c r="FD321" s="104"/>
      <c r="FE321" s="104"/>
      <c r="FF321" s="104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  <c r="HO321" s="104"/>
      <c r="HP321" s="104"/>
      <c r="HQ321" s="104"/>
      <c r="HR321" s="104"/>
      <c r="HS321" s="104"/>
      <c r="HT321" s="104"/>
      <c r="HU321" s="104"/>
      <c r="HV321" s="104"/>
      <c r="HW321" s="104"/>
      <c r="HX321" s="104"/>
      <c r="HY321" s="104"/>
      <c r="HZ321" s="104"/>
      <c r="IA321" s="104"/>
      <c r="IB321" s="104"/>
      <c r="IC321" s="104"/>
      <c r="ID321" s="104"/>
      <c r="IE321" s="104"/>
      <c r="IF321" s="104"/>
      <c r="IG321" s="104"/>
      <c r="IH321" s="104"/>
      <c r="II321" s="104"/>
      <c r="IJ321" s="104"/>
      <c r="IK321" s="104"/>
      <c r="IL321" s="104"/>
      <c r="IM321" s="104"/>
      <c r="IN321" s="104"/>
      <c r="IO321" s="104"/>
      <c r="IP321" s="104"/>
      <c r="IQ321" s="104"/>
      <c r="IR321" s="104"/>
      <c r="IS321" s="104"/>
      <c r="IT321" s="104"/>
      <c r="IU321" s="104"/>
      <c r="IV321" s="104"/>
      <c r="IW321" s="104"/>
      <c r="IX321" s="104"/>
      <c r="IY321" s="104"/>
      <c r="IZ321" s="104"/>
      <c r="JA321" s="104"/>
    </row>
    <row r="322" spans="2:261" x14ac:dyDescent="0.2">
      <c r="B322" s="104"/>
      <c r="C322" s="104"/>
      <c r="D322" s="104"/>
      <c r="E322" s="104"/>
      <c r="F322" s="104"/>
      <c r="G322" s="104"/>
      <c r="H322" s="104"/>
      <c r="I322" s="104"/>
      <c r="J322" s="151"/>
      <c r="K322" s="104"/>
      <c r="L322" s="104"/>
      <c r="M322" s="104"/>
      <c r="N322" s="151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4"/>
      <c r="DB322" s="104"/>
      <c r="DC322" s="104"/>
      <c r="DD322" s="104"/>
      <c r="DE322" s="104"/>
      <c r="DF322" s="104"/>
      <c r="DG322" s="104"/>
      <c r="DH322" s="104"/>
      <c r="DI322" s="104"/>
      <c r="DJ322" s="104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104"/>
      <c r="DV322" s="104"/>
      <c r="DW322" s="104"/>
      <c r="DX322" s="104"/>
      <c r="DY322" s="104"/>
      <c r="DZ322" s="104"/>
      <c r="EA322" s="104"/>
      <c r="EB322" s="104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04"/>
      <c r="EZ322" s="104"/>
      <c r="FA322" s="104"/>
      <c r="FB322" s="104"/>
      <c r="FC322" s="104"/>
      <c r="FD322" s="104"/>
      <c r="FE322" s="104"/>
      <c r="FF322" s="104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  <c r="HO322" s="104"/>
      <c r="HP322" s="104"/>
      <c r="HQ322" s="104"/>
      <c r="HR322" s="104"/>
      <c r="HS322" s="104"/>
      <c r="HT322" s="104"/>
      <c r="HU322" s="104"/>
      <c r="HV322" s="104"/>
      <c r="HW322" s="104"/>
      <c r="HX322" s="104"/>
      <c r="HY322" s="104"/>
      <c r="HZ322" s="104"/>
      <c r="IA322" s="104"/>
      <c r="IB322" s="104"/>
      <c r="IC322" s="104"/>
      <c r="ID322" s="104"/>
      <c r="IE322" s="104"/>
      <c r="IF322" s="104"/>
      <c r="IG322" s="104"/>
      <c r="IH322" s="104"/>
      <c r="II322" s="104"/>
      <c r="IJ322" s="104"/>
      <c r="IK322" s="104"/>
      <c r="IL322" s="104"/>
      <c r="IM322" s="104"/>
      <c r="IN322" s="104"/>
      <c r="IO322" s="104"/>
      <c r="IP322" s="104"/>
      <c r="IQ322" s="104"/>
      <c r="IR322" s="104"/>
      <c r="IS322" s="104"/>
      <c r="IT322" s="104"/>
      <c r="IU322" s="104"/>
      <c r="IV322" s="104"/>
      <c r="IW322" s="104"/>
      <c r="IX322" s="104"/>
      <c r="IY322" s="104"/>
      <c r="IZ322" s="104"/>
      <c r="JA322" s="104"/>
    </row>
    <row r="323" spans="2:261" x14ac:dyDescent="0.2">
      <c r="B323" s="104"/>
      <c r="C323" s="104"/>
      <c r="D323" s="104"/>
      <c r="E323" s="104"/>
      <c r="F323" s="104"/>
      <c r="G323" s="104"/>
      <c r="H323" s="104"/>
      <c r="I323" s="104"/>
      <c r="J323" s="151"/>
      <c r="K323" s="104"/>
      <c r="L323" s="104"/>
      <c r="M323" s="104"/>
      <c r="N323" s="151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4"/>
      <c r="DB323" s="104"/>
      <c r="DC323" s="104"/>
      <c r="DD323" s="104"/>
      <c r="DE323" s="104"/>
      <c r="DF323" s="104"/>
      <c r="DG323" s="104"/>
      <c r="DH323" s="104"/>
      <c r="DI323" s="104"/>
      <c r="DJ323" s="104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104"/>
      <c r="DV323" s="104"/>
      <c r="DW323" s="104"/>
      <c r="DX323" s="104"/>
      <c r="DY323" s="104"/>
      <c r="DZ323" s="104"/>
      <c r="EA323" s="104"/>
      <c r="EB323" s="104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4"/>
      <c r="FA323" s="104"/>
      <c r="FB323" s="104"/>
      <c r="FC323" s="104"/>
      <c r="FD323" s="104"/>
      <c r="FE323" s="104"/>
      <c r="FF323" s="104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  <c r="HO323" s="104"/>
      <c r="HP323" s="104"/>
      <c r="HQ323" s="104"/>
      <c r="HR323" s="104"/>
      <c r="HS323" s="104"/>
      <c r="HT323" s="104"/>
      <c r="HU323" s="104"/>
      <c r="HV323" s="104"/>
      <c r="HW323" s="104"/>
      <c r="HX323" s="104"/>
      <c r="HY323" s="104"/>
      <c r="HZ323" s="104"/>
      <c r="IA323" s="104"/>
      <c r="IB323" s="104"/>
      <c r="IC323" s="104"/>
      <c r="ID323" s="104"/>
      <c r="IE323" s="104"/>
      <c r="IF323" s="104"/>
      <c r="IG323" s="104"/>
      <c r="IH323" s="104"/>
      <c r="II323" s="104"/>
      <c r="IJ323" s="104"/>
      <c r="IK323" s="104"/>
      <c r="IL323" s="104"/>
      <c r="IM323" s="104"/>
      <c r="IN323" s="104"/>
      <c r="IO323" s="104"/>
      <c r="IP323" s="104"/>
      <c r="IQ323" s="104"/>
      <c r="IR323" s="104"/>
      <c r="IS323" s="104"/>
      <c r="IT323" s="104"/>
      <c r="IU323" s="104"/>
      <c r="IV323" s="104"/>
      <c r="IW323" s="104"/>
      <c r="IX323" s="104"/>
      <c r="IY323" s="104"/>
      <c r="IZ323" s="104"/>
      <c r="JA323" s="104"/>
    </row>
    <row r="324" spans="2:261" x14ac:dyDescent="0.2">
      <c r="B324" s="104"/>
      <c r="C324" s="104"/>
      <c r="D324" s="104"/>
      <c r="E324" s="104"/>
      <c r="F324" s="104"/>
      <c r="G324" s="104"/>
      <c r="H324" s="104"/>
      <c r="I324" s="104"/>
      <c r="J324" s="151"/>
      <c r="K324" s="104"/>
      <c r="L324" s="104"/>
      <c r="M324" s="104"/>
      <c r="N324" s="151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4"/>
      <c r="DB324" s="104"/>
      <c r="DC324" s="104"/>
      <c r="DD324" s="104"/>
      <c r="DE324" s="104"/>
      <c r="DF324" s="104"/>
      <c r="DG324" s="104"/>
      <c r="DH324" s="104"/>
      <c r="DI324" s="104"/>
      <c r="DJ324" s="104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04"/>
      <c r="EZ324" s="104"/>
      <c r="FA324" s="104"/>
      <c r="FB324" s="104"/>
      <c r="FC324" s="104"/>
      <c r="FD324" s="104"/>
      <c r="FE324" s="104"/>
      <c r="FF324" s="104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  <c r="HO324" s="104"/>
      <c r="HP324" s="104"/>
      <c r="HQ324" s="104"/>
      <c r="HR324" s="104"/>
      <c r="HS324" s="104"/>
      <c r="HT324" s="104"/>
      <c r="HU324" s="104"/>
      <c r="HV324" s="104"/>
      <c r="HW324" s="104"/>
      <c r="HX324" s="104"/>
      <c r="HY324" s="104"/>
      <c r="HZ324" s="104"/>
      <c r="IA324" s="104"/>
      <c r="IB324" s="104"/>
      <c r="IC324" s="104"/>
      <c r="ID324" s="104"/>
      <c r="IE324" s="104"/>
      <c r="IF324" s="104"/>
      <c r="IG324" s="104"/>
      <c r="IH324" s="104"/>
      <c r="II324" s="104"/>
      <c r="IJ324" s="104"/>
      <c r="IK324" s="104"/>
      <c r="IL324" s="104"/>
      <c r="IM324" s="104"/>
      <c r="IN324" s="104"/>
      <c r="IO324" s="104"/>
      <c r="IP324" s="104"/>
      <c r="IQ324" s="104"/>
      <c r="IR324" s="104"/>
      <c r="IS324" s="104"/>
      <c r="IT324" s="104"/>
      <c r="IU324" s="104"/>
      <c r="IV324" s="104"/>
      <c r="IW324" s="104"/>
      <c r="IX324" s="104"/>
      <c r="IY324" s="104"/>
      <c r="IZ324" s="104"/>
      <c r="JA324" s="104"/>
    </row>
    <row r="325" spans="2:261" x14ac:dyDescent="0.2">
      <c r="B325" s="104"/>
      <c r="C325" s="104"/>
      <c r="D325" s="104"/>
      <c r="E325" s="104"/>
      <c r="F325" s="104"/>
      <c r="G325" s="104"/>
      <c r="H325" s="104"/>
      <c r="I325" s="104"/>
      <c r="J325" s="151"/>
      <c r="K325" s="104"/>
      <c r="L325" s="104"/>
      <c r="M325" s="104"/>
      <c r="N325" s="151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4"/>
      <c r="DB325" s="104"/>
      <c r="DC325" s="104"/>
      <c r="DD325" s="104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  <c r="IU325" s="104"/>
      <c r="IV325" s="104"/>
      <c r="IW325" s="104"/>
      <c r="IX325" s="104"/>
      <c r="IY325" s="104"/>
      <c r="IZ325" s="104"/>
      <c r="JA325" s="104"/>
    </row>
    <row r="326" spans="2:261" x14ac:dyDescent="0.2">
      <c r="B326" s="104"/>
      <c r="C326" s="104"/>
      <c r="D326" s="104"/>
      <c r="E326" s="104"/>
      <c r="F326" s="104"/>
      <c r="G326" s="104"/>
      <c r="H326" s="104"/>
      <c r="I326" s="104"/>
      <c r="J326" s="151"/>
      <c r="K326" s="104"/>
      <c r="L326" s="104"/>
      <c r="M326" s="104"/>
      <c r="N326" s="151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4"/>
      <c r="DB326" s="104"/>
      <c r="DC326" s="104"/>
      <c r="DD326" s="104"/>
      <c r="DE326" s="104"/>
      <c r="DF326" s="104"/>
      <c r="DG326" s="104"/>
      <c r="DH326" s="104"/>
      <c r="DI326" s="104"/>
      <c r="DJ326" s="104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04"/>
      <c r="EZ326" s="104"/>
      <c r="FA326" s="104"/>
      <c r="FB326" s="104"/>
      <c r="FC326" s="104"/>
      <c r="FD326" s="104"/>
      <c r="FE326" s="104"/>
      <c r="FF326" s="104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  <c r="IU326" s="104"/>
      <c r="IV326" s="104"/>
      <c r="IW326" s="104"/>
      <c r="IX326" s="104"/>
      <c r="IY326" s="104"/>
      <c r="IZ326" s="104"/>
      <c r="JA326" s="104"/>
    </row>
    <row r="327" spans="2:261" x14ac:dyDescent="0.2">
      <c r="B327" s="104"/>
      <c r="C327" s="104"/>
      <c r="D327" s="104"/>
      <c r="E327" s="104"/>
      <c r="F327" s="104"/>
      <c r="G327" s="104"/>
      <c r="H327" s="104"/>
      <c r="I327" s="104"/>
      <c r="J327" s="151"/>
      <c r="K327" s="104"/>
      <c r="L327" s="104"/>
      <c r="M327" s="104"/>
      <c r="N327" s="151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4"/>
      <c r="DB327" s="104"/>
      <c r="DC327" s="104"/>
      <c r="DD327" s="104"/>
      <c r="DE327" s="104"/>
      <c r="DF327" s="104"/>
      <c r="DG327" s="104"/>
      <c r="DH327" s="104"/>
      <c r="DI327" s="104"/>
      <c r="DJ327" s="104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104"/>
      <c r="DV327" s="104"/>
      <c r="DW327" s="104"/>
      <c r="DX327" s="104"/>
      <c r="DY327" s="104"/>
      <c r="DZ327" s="104"/>
      <c r="EA327" s="104"/>
      <c r="EB327" s="104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4"/>
      <c r="FA327" s="104"/>
      <c r="FB327" s="104"/>
      <c r="FC327" s="104"/>
      <c r="FD327" s="104"/>
      <c r="FE327" s="104"/>
      <c r="FF327" s="104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  <c r="HO327" s="104"/>
      <c r="HP327" s="104"/>
      <c r="HQ327" s="104"/>
      <c r="HR327" s="104"/>
      <c r="HS327" s="104"/>
      <c r="HT327" s="104"/>
      <c r="HU327" s="104"/>
      <c r="HV327" s="104"/>
      <c r="HW327" s="104"/>
      <c r="HX327" s="104"/>
      <c r="HY327" s="104"/>
      <c r="HZ327" s="104"/>
      <c r="IA327" s="104"/>
      <c r="IB327" s="104"/>
      <c r="IC327" s="104"/>
      <c r="ID327" s="104"/>
      <c r="IE327" s="104"/>
      <c r="IF327" s="104"/>
      <c r="IG327" s="104"/>
      <c r="IH327" s="104"/>
      <c r="II327" s="104"/>
      <c r="IJ327" s="104"/>
      <c r="IK327" s="104"/>
      <c r="IL327" s="104"/>
      <c r="IM327" s="104"/>
      <c r="IN327" s="104"/>
      <c r="IO327" s="104"/>
      <c r="IP327" s="104"/>
      <c r="IQ327" s="104"/>
      <c r="IR327" s="104"/>
      <c r="IS327" s="104"/>
      <c r="IT327" s="104"/>
      <c r="IU327" s="104"/>
      <c r="IV327" s="104"/>
      <c r="IW327" s="104"/>
      <c r="IX327" s="104"/>
      <c r="IY327" s="104"/>
      <c r="IZ327" s="104"/>
      <c r="JA327" s="104"/>
    </row>
    <row r="328" spans="2:261" x14ac:dyDescent="0.2">
      <c r="B328" s="104"/>
      <c r="C328" s="104"/>
      <c r="D328" s="104"/>
      <c r="E328" s="104"/>
      <c r="F328" s="104"/>
      <c r="G328" s="104"/>
      <c r="H328" s="104"/>
      <c r="I328" s="104"/>
      <c r="J328" s="151"/>
      <c r="K328" s="104"/>
      <c r="L328" s="104"/>
      <c r="M328" s="104"/>
      <c r="N328" s="151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4"/>
      <c r="DB328" s="104"/>
      <c r="DC328" s="104"/>
      <c r="DD328" s="104"/>
      <c r="DE328" s="104"/>
      <c r="DF328" s="104"/>
      <c r="DG328" s="104"/>
      <c r="DH328" s="104"/>
      <c r="DI328" s="104"/>
      <c r="DJ328" s="104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104"/>
      <c r="DV328" s="104"/>
      <c r="DW328" s="104"/>
      <c r="DX328" s="104"/>
      <c r="DY328" s="104"/>
      <c r="DZ328" s="104"/>
      <c r="EA328" s="104"/>
      <c r="EB328" s="104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04"/>
      <c r="EZ328" s="104"/>
      <c r="FA328" s="104"/>
      <c r="FB328" s="104"/>
      <c r="FC328" s="104"/>
      <c r="FD328" s="104"/>
      <c r="FE328" s="104"/>
      <c r="FF328" s="104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  <c r="HO328" s="104"/>
      <c r="HP328" s="104"/>
      <c r="HQ328" s="104"/>
      <c r="HR328" s="104"/>
      <c r="HS328" s="104"/>
      <c r="HT328" s="104"/>
      <c r="HU328" s="104"/>
      <c r="HV328" s="104"/>
      <c r="HW328" s="104"/>
      <c r="HX328" s="104"/>
      <c r="HY328" s="104"/>
      <c r="HZ328" s="104"/>
      <c r="IA328" s="104"/>
      <c r="IB328" s="104"/>
      <c r="IC328" s="104"/>
      <c r="ID328" s="104"/>
      <c r="IE328" s="104"/>
      <c r="IF328" s="104"/>
      <c r="IG328" s="104"/>
      <c r="IH328" s="104"/>
      <c r="II328" s="104"/>
      <c r="IJ328" s="104"/>
      <c r="IK328" s="104"/>
      <c r="IL328" s="104"/>
      <c r="IM328" s="104"/>
      <c r="IN328" s="104"/>
      <c r="IO328" s="104"/>
      <c r="IP328" s="104"/>
      <c r="IQ328" s="104"/>
      <c r="IR328" s="104"/>
      <c r="IS328" s="104"/>
      <c r="IT328" s="104"/>
      <c r="IU328" s="104"/>
      <c r="IV328" s="104"/>
      <c r="IW328" s="104"/>
      <c r="IX328" s="104"/>
      <c r="IY328" s="104"/>
      <c r="IZ328" s="104"/>
      <c r="JA328" s="104"/>
    </row>
    <row r="329" spans="2:261" x14ac:dyDescent="0.2">
      <c r="B329" s="104"/>
      <c r="C329" s="104"/>
      <c r="D329" s="104"/>
      <c r="E329" s="104"/>
      <c r="F329" s="104"/>
      <c r="G329" s="104"/>
      <c r="H329" s="104"/>
      <c r="I329" s="104"/>
      <c r="J329" s="151"/>
      <c r="K329" s="104"/>
      <c r="L329" s="104"/>
      <c r="M329" s="104"/>
      <c r="N329" s="151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4"/>
      <c r="DB329" s="104"/>
      <c r="DC329" s="104"/>
      <c r="DD329" s="104"/>
      <c r="DE329" s="104"/>
      <c r="DF329" s="104"/>
      <c r="DG329" s="104"/>
      <c r="DH329" s="104"/>
      <c r="DI329" s="104"/>
      <c r="DJ329" s="104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104"/>
      <c r="DV329" s="104"/>
      <c r="DW329" s="104"/>
      <c r="DX329" s="104"/>
      <c r="DY329" s="104"/>
      <c r="DZ329" s="104"/>
      <c r="EA329" s="104"/>
      <c r="EB329" s="104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04"/>
      <c r="EZ329" s="104"/>
      <c r="FA329" s="104"/>
      <c r="FB329" s="104"/>
      <c r="FC329" s="104"/>
      <c r="FD329" s="104"/>
      <c r="FE329" s="104"/>
      <c r="FF329" s="104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  <c r="HO329" s="104"/>
      <c r="HP329" s="104"/>
      <c r="HQ329" s="104"/>
      <c r="HR329" s="104"/>
      <c r="HS329" s="104"/>
      <c r="HT329" s="104"/>
      <c r="HU329" s="104"/>
      <c r="HV329" s="104"/>
      <c r="HW329" s="104"/>
      <c r="HX329" s="104"/>
      <c r="HY329" s="104"/>
      <c r="HZ329" s="104"/>
      <c r="IA329" s="104"/>
      <c r="IB329" s="104"/>
      <c r="IC329" s="104"/>
      <c r="ID329" s="104"/>
      <c r="IE329" s="104"/>
      <c r="IF329" s="104"/>
      <c r="IG329" s="104"/>
      <c r="IH329" s="104"/>
      <c r="II329" s="104"/>
      <c r="IJ329" s="104"/>
      <c r="IK329" s="104"/>
      <c r="IL329" s="104"/>
      <c r="IM329" s="104"/>
      <c r="IN329" s="104"/>
      <c r="IO329" s="104"/>
      <c r="IP329" s="104"/>
      <c r="IQ329" s="104"/>
      <c r="IR329" s="104"/>
      <c r="IS329" s="104"/>
      <c r="IT329" s="104"/>
      <c r="IU329" s="104"/>
      <c r="IV329" s="104"/>
      <c r="IW329" s="104"/>
      <c r="IX329" s="104"/>
      <c r="IY329" s="104"/>
      <c r="IZ329" s="104"/>
      <c r="JA329" s="104"/>
    </row>
    <row r="330" spans="2:261" x14ac:dyDescent="0.2">
      <c r="B330" s="104"/>
      <c r="C330" s="104"/>
      <c r="D330" s="104"/>
      <c r="E330" s="104"/>
      <c r="F330" s="104"/>
      <c r="G330" s="104"/>
      <c r="H330" s="104"/>
      <c r="I330" s="104"/>
      <c r="J330" s="151"/>
      <c r="K330" s="104"/>
      <c r="L330" s="104"/>
      <c r="M330" s="104"/>
      <c r="N330" s="151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4"/>
      <c r="DB330" s="104"/>
      <c r="DC330" s="104"/>
      <c r="DD330" s="104"/>
      <c r="DE330" s="104"/>
      <c r="DF330" s="104"/>
      <c r="DG330" s="104"/>
      <c r="DH330" s="104"/>
      <c r="DI330" s="104"/>
      <c r="DJ330" s="104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104"/>
      <c r="DV330" s="104"/>
      <c r="DW330" s="104"/>
      <c r="DX330" s="104"/>
      <c r="DY330" s="104"/>
      <c r="DZ330" s="104"/>
      <c r="EA330" s="104"/>
      <c r="EB330" s="104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04"/>
      <c r="EZ330" s="104"/>
      <c r="FA330" s="104"/>
      <c r="FB330" s="104"/>
      <c r="FC330" s="104"/>
      <c r="FD330" s="104"/>
      <c r="FE330" s="104"/>
      <c r="FF330" s="104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  <c r="HO330" s="104"/>
      <c r="HP330" s="104"/>
      <c r="HQ330" s="104"/>
      <c r="HR330" s="104"/>
      <c r="HS330" s="104"/>
      <c r="HT330" s="104"/>
      <c r="HU330" s="104"/>
      <c r="HV330" s="104"/>
      <c r="HW330" s="104"/>
      <c r="HX330" s="104"/>
      <c r="HY330" s="104"/>
      <c r="HZ330" s="104"/>
      <c r="IA330" s="104"/>
      <c r="IB330" s="104"/>
      <c r="IC330" s="104"/>
      <c r="ID330" s="104"/>
      <c r="IE330" s="104"/>
      <c r="IF330" s="104"/>
      <c r="IG330" s="104"/>
      <c r="IH330" s="104"/>
      <c r="II330" s="104"/>
      <c r="IJ330" s="104"/>
      <c r="IK330" s="104"/>
      <c r="IL330" s="104"/>
      <c r="IM330" s="104"/>
      <c r="IN330" s="104"/>
      <c r="IO330" s="104"/>
      <c r="IP330" s="104"/>
      <c r="IQ330" s="104"/>
      <c r="IR330" s="104"/>
      <c r="IS330" s="104"/>
      <c r="IT330" s="104"/>
      <c r="IU330" s="104"/>
      <c r="IV330" s="104"/>
      <c r="IW330" s="104"/>
      <c r="IX330" s="104"/>
      <c r="IY330" s="104"/>
      <c r="IZ330" s="104"/>
      <c r="JA330" s="104"/>
    </row>
    <row r="331" spans="2:261" x14ac:dyDescent="0.2">
      <c r="B331" s="104"/>
      <c r="C331" s="104"/>
      <c r="D331" s="104"/>
      <c r="E331" s="104"/>
      <c r="F331" s="104"/>
      <c r="G331" s="104"/>
      <c r="H331" s="104"/>
      <c r="I331" s="104"/>
      <c r="J331" s="151"/>
      <c r="K331" s="104"/>
      <c r="L331" s="104"/>
      <c r="M331" s="104"/>
      <c r="N331" s="151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4"/>
      <c r="DB331" s="104"/>
      <c r="DC331" s="104"/>
      <c r="DD331" s="104"/>
      <c r="DE331" s="104"/>
      <c r="DF331" s="104"/>
      <c r="DG331" s="104"/>
      <c r="DH331" s="104"/>
      <c r="DI331" s="104"/>
      <c r="DJ331" s="104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104"/>
      <c r="DV331" s="104"/>
      <c r="DW331" s="104"/>
      <c r="DX331" s="104"/>
      <c r="DY331" s="104"/>
      <c r="DZ331" s="104"/>
      <c r="EA331" s="104"/>
      <c r="EB331" s="104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4"/>
      <c r="FA331" s="104"/>
      <c r="FB331" s="104"/>
      <c r="FC331" s="104"/>
      <c r="FD331" s="104"/>
      <c r="FE331" s="104"/>
      <c r="FF331" s="104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  <c r="HO331" s="104"/>
      <c r="HP331" s="104"/>
      <c r="HQ331" s="104"/>
      <c r="HR331" s="104"/>
      <c r="HS331" s="104"/>
      <c r="HT331" s="104"/>
      <c r="HU331" s="104"/>
      <c r="HV331" s="104"/>
      <c r="HW331" s="104"/>
      <c r="HX331" s="104"/>
      <c r="HY331" s="104"/>
      <c r="HZ331" s="104"/>
      <c r="IA331" s="104"/>
      <c r="IB331" s="104"/>
      <c r="IC331" s="104"/>
      <c r="ID331" s="104"/>
      <c r="IE331" s="104"/>
      <c r="IF331" s="104"/>
      <c r="IG331" s="104"/>
      <c r="IH331" s="104"/>
      <c r="II331" s="104"/>
      <c r="IJ331" s="104"/>
      <c r="IK331" s="104"/>
      <c r="IL331" s="104"/>
      <c r="IM331" s="104"/>
      <c r="IN331" s="104"/>
      <c r="IO331" s="104"/>
      <c r="IP331" s="104"/>
      <c r="IQ331" s="104"/>
      <c r="IR331" s="104"/>
      <c r="IS331" s="104"/>
      <c r="IT331" s="104"/>
      <c r="IU331" s="104"/>
      <c r="IV331" s="104"/>
      <c r="IW331" s="104"/>
      <c r="IX331" s="104"/>
      <c r="IY331" s="104"/>
      <c r="IZ331" s="104"/>
      <c r="JA331" s="104"/>
    </row>
    <row r="332" spans="2:261" x14ac:dyDescent="0.2">
      <c r="B332" s="104"/>
      <c r="C332" s="104"/>
      <c r="D332" s="104"/>
      <c r="E332" s="104"/>
      <c r="F332" s="104"/>
      <c r="G332" s="104"/>
      <c r="H332" s="104"/>
      <c r="I332" s="104"/>
      <c r="J332" s="151"/>
      <c r="K332" s="104"/>
      <c r="L332" s="104"/>
      <c r="M332" s="104"/>
      <c r="N332" s="151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4"/>
      <c r="DB332" s="104"/>
      <c r="DC332" s="104"/>
      <c r="DD332" s="104"/>
      <c r="DE332" s="104"/>
      <c r="DF332" s="104"/>
      <c r="DG332" s="104"/>
      <c r="DH332" s="104"/>
      <c r="DI332" s="104"/>
      <c r="DJ332" s="104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104"/>
      <c r="DV332" s="104"/>
      <c r="DW332" s="104"/>
      <c r="DX332" s="104"/>
      <c r="DY332" s="104"/>
      <c r="DZ332" s="104"/>
      <c r="EA332" s="104"/>
      <c r="EB332" s="104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04"/>
      <c r="EZ332" s="104"/>
      <c r="FA332" s="104"/>
      <c r="FB332" s="104"/>
      <c r="FC332" s="104"/>
      <c r="FD332" s="104"/>
      <c r="FE332" s="104"/>
      <c r="FF332" s="104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  <c r="HO332" s="104"/>
      <c r="HP332" s="104"/>
      <c r="HQ332" s="104"/>
      <c r="HR332" s="104"/>
      <c r="HS332" s="104"/>
      <c r="HT332" s="104"/>
      <c r="HU332" s="104"/>
      <c r="HV332" s="104"/>
      <c r="HW332" s="104"/>
      <c r="HX332" s="104"/>
      <c r="HY332" s="104"/>
      <c r="HZ332" s="104"/>
      <c r="IA332" s="104"/>
      <c r="IB332" s="104"/>
      <c r="IC332" s="104"/>
      <c r="ID332" s="104"/>
      <c r="IE332" s="104"/>
      <c r="IF332" s="104"/>
      <c r="IG332" s="104"/>
      <c r="IH332" s="104"/>
      <c r="II332" s="104"/>
      <c r="IJ332" s="104"/>
      <c r="IK332" s="104"/>
      <c r="IL332" s="104"/>
      <c r="IM332" s="104"/>
      <c r="IN332" s="104"/>
      <c r="IO332" s="104"/>
      <c r="IP332" s="104"/>
      <c r="IQ332" s="104"/>
      <c r="IR332" s="104"/>
      <c r="IS332" s="104"/>
      <c r="IT332" s="104"/>
      <c r="IU332" s="104"/>
      <c r="IV332" s="104"/>
      <c r="IW332" s="104"/>
      <c r="IX332" s="104"/>
      <c r="IY332" s="104"/>
      <c r="IZ332" s="104"/>
      <c r="JA332" s="104"/>
    </row>
    <row r="333" spans="2:261" x14ac:dyDescent="0.2">
      <c r="B333" s="104"/>
      <c r="C333" s="104"/>
      <c r="D333" s="104"/>
      <c r="E333" s="104"/>
      <c r="F333" s="104"/>
      <c r="G333" s="104"/>
      <c r="H333" s="104"/>
      <c r="I333" s="104"/>
      <c r="J333" s="151"/>
      <c r="K333" s="104"/>
      <c r="L333" s="104"/>
      <c r="M333" s="104"/>
      <c r="N333" s="151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4"/>
      <c r="DB333" s="104"/>
      <c r="DC333" s="104"/>
      <c r="DD333" s="104"/>
      <c r="DE333" s="104"/>
      <c r="DF333" s="104"/>
      <c r="DG333" s="104"/>
      <c r="DH333" s="104"/>
      <c r="DI333" s="104"/>
      <c r="DJ333" s="104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104"/>
      <c r="DV333" s="104"/>
      <c r="DW333" s="104"/>
      <c r="DX333" s="104"/>
      <c r="DY333" s="104"/>
      <c r="DZ333" s="104"/>
      <c r="EA333" s="104"/>
      <c r="EB333" s="104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04"/>
      <c r="EZ333" s="104"/>
      <c r="FA333" s="104"/>
      <c r="FB333" s="104"/>
      <c r="FC333" s="104"/>
      <c r="FD333" s="104"/>
      <c r="FE333" s="104"/>
      <c r="FF333" s="104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  <c r="HO333" s="104"/>
      <c r="HP333" s="104"/>
      <c r="HQ333" s="104"/>
      <c r="HR333" s="104"/>
      <c r="HS333" s="104"/>
      <c r="HT333" s="104"/>
      <c r="HU333" s="104"/>
      <c r="HV333" s="104"/>
      <c r="HW333" s="104"/>
      <c r="HX333" s="104"/>
      <c r="HY333" s="104"/>
      <c r="HZ333" s="104"/>
      <c r="IA333" s="104"/>
      <c r="IB333" s="104"/>
      <c r="IC333" s="104"/>
      <c r="ID333" s="104"/>
      <c r="IE333" s="104"/>
      <c r="IF333" s="104"/>
      <c r="IG333" s="104"/>
      <c r="IH333" s="104"/>
      <c r="II333" s="104"/>
      <c r="IJ333" s="104"/>
      <c r="IK333" s="104"/>
      <c r="IL333" s="104"/>
      <c r="IM333" s="104"/>
      <c r="IN333" s="104"/>
      <c r="IO333" s="104"/>
      <c r="IP333" s="104"/>
      <c r="IQ333" s="104"/>
      <c r="IR333" s="104"/>
      <c r="IS333" s="104"/>
      <c r="IT333" s="104"/>
      <c r="IU333" s="104"/>
      <c r="IV333" s="104"/>
      <c r="IW333" s="104"/>
      <c r="IX333" s="104"/>
      <c r="IY333" s="104"/>
      <c r="IZ333" s="104"/>
      <c r="JA333" s="104"/>
    </row>
    <row r="334" spans="2:261" x14ac:dyDescent="0.2">
      <c r="B334" s="104"/>
      <c r="C334" s="104"/>
      <c r="D334" s="104"/>
      <c r="E334" s="104"/>
      <c r="F334" s="104"/>
      <c r="G334" s="104"/>
      <c r="H334" s="104"/>
      <c r="I334" s="104"/>
      <c r="J334" s="151"/>
      <c r="K334" s="104"/>
      <c r="L334" s="104"/>
      <c r="M334" s="104"/>
      <c r="N334" s="151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  <c r="CH334" s="104"/>
      <c r="CI334" s="104"/>
      <c r="CJ334" s="104"/>
      <c r="CK334" s="104"/>
      <c r="CL334" s="104"/>
      <c r="CM334" s="104"/>
      <c r="CN334" s="104"/>
      <c r="CO334" s="104"/>
      <c r="CP334" s="104"/>
      <c r="CQ334" s="104"/>
      <c r="CR334" s="104"/>
      <c r="CS334" s="104"/>
      <c r="CT334" s="104"/>
      <c r="CU334" s="104"/>
      <c r="CV334" s="104"/>
      <c r="CW334" s="104"/>
      <c r="CX334" s="104"/>
      <c r="CY334" s="104"/>
      <c r="CZ334" s="104"/>
      <c r="DA334" s="104"/>
      <c r="DB334" s="104"/>
      <c r="DC334" s="104"/>
      <c r="DD334" s="104"/>
      <c r="DE334" s="104"/>
      <c r="DF334" s="104"/>
      <c r="DG334" s="104"/>
      <c r="DH334" s="104"/>
      <c r="DI334" s="104"/>
      <c r="DJ334" s="104"/>
      <c r="DK334" s="104"/>
      <c r="DL334" s="104"/>
      <c r="DM334" s="104"/>
      <c r="DN334" s="104"/>
      <c r="DO334" s="104"/>
      <c r="DP334" s="104"/>
      <c r="DQ334" s="104"/>
      <c r="DR334" s="104"/>
      <c r="DS334" s="104"/>
      <c r="DT334" s="104"/>
      <c r="DU334" s="104"/>
      <c r="DV334" s="104"/>
      <c r="DW334" s="104"/>
      <c r="DX334" s="104"/>
      <c r="DY334" s="104"/>
      <c r="DZ334" s="104"/>
      <c r="EA334" s="104"/>
      <c r="EB334" s="104"/>
      <c r="EC334" s="104"/>
      <c r="ED334" s="104"/>
      <c r="EE334" s="104"/>
      <c r="EF334" s="104"/>
      <c r="EG334" s="104"/>
      <c r="EH334" s="104"/>
      <c r="EI334" s="104"/>
      <c r="EJ334" s="104"/>
      <c r="EK334" s="104"/>
      <c r="EL334" s="104"/>
      <c r="EM334" s="104"/>
      <c r="EN334" s="104"/>
      <c r="EO334" s="104"/>
      <c r="EP334" s="104"/>
      <c r="EQ334" s="104"/>
      <c r="ER334" s="104"/>
      <c r="ES334" s="104"/>
      <c r="ET334" s="104"/>
      <c r="EU334" s="104"/>
      <c r="EV334" s="104"/>
      <c r="EW334" s="104"/>
      <c r="EX334" s="104"/>
      <c r="EY334" s="104"/>
      <c r="EZ334" s="104"/>
      <c r="FA334" s="104"/>
      <c r="FB334" s="104"/>
      <c r="FC334" s="104"/>
      <c r="FD334" s="104"/>
      <c r="FE334" s="104"/>
      <c r="FF334" s="104"/>
      <c r="FG334" s="104"/>
      <c r="FH334" s="104"/>
      <c r="FI334" s="104"/>
      <c r="FJ334" s="104"/>
      <c r="FK334" s="104"/>
      <c r="FL334" s="104"/>
      <c r="FM334" s="104"/>
      <c r="FN334" s="104"/>
      <c r="FO334" s="104"/>
      <c r="FP334" s="104"/>
      <c r="FQ334" s="104"/>
      <c r="FR334" s="104"/>
      <c r="FS334" s="104"/>
      <c r="FT334" s="104"/>
      <c r="FU334" s="104"/>
      <c r="FV334" s="104"/>
      <c r="FW334" s="104"/>
      <c r="FX334" s="104"/>
      <c r="FY334" s="104"/>
      <c r="FZ334" s="104"/>
      <c r="GA334" s="104"/>
      <c r="GB334" s="104"/>
      <c r="GC334" s="104"/>
      <c r="GD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  <c r="HA334" s="104"/>
      <c r="HB334" s="104"/>
      <c r="HC334" s="104"/>
      <c r="HD334" s="104"/>
      <c r="HE334" s="104"/>
      <c r="HF334" s="104"/>
      <c r="HG334" s="104"/>
      <c r="HH334" s="104"/>
      <c r="HI334" s="104"/>
      <c r="HJ334" s="104"/>
      <c r="HK334" s="104"/>
      <c r="HL334" s="104"/>
      <c r="HM334" s="104"/>
      <c r="HN334" s="104"/>
      <c r="HO334" s="104"/>
      <c r="HP334" s="104"/>
      <c r="HQ334" s="104"/>
      <c r="HR334" s="104"/>
      <c r="HS334" s="104"/>
      <c r="HT334" s="104"/>
      <c r="HU334" s="104"/>
      <c r="HV334" s="104"/>
      <c r="HW334" s="104"/>
      <c r="HX334" s="104"/>
      <c r="HY334" s="104"/>
      <c r="HZ334" s="104"/>
      <c r="IA334" s="104"/>
      <c r="IB334" s="104"/>
      <c r="IC334" s="104"/>
      <c r="ID334" s="104"/>
      <c r="IE334" s="104"/>
      <c r="IF334" s="104"/>
      <c r="IG334" s="104"/>
      <c r="IH334" s="104"/>
      <c r="II334" s="104"/>
      <c r="IJ334" s="104"/>
      <c r="IK334" s="104"/>
      <c r="IL334" s="104"/>
      <c r="IM334" s="104"/>
      <c r="IN334" s="104"/>
      <c r="IO334" s="104"/>
      <c r="IP334" s="104"/>
      <c r="IQ334" s="104"/>
      <c r="IR334" s="104"/>
      <c r="IS334" s="104"/>
      <c r="IT334" s="104"/>
      <c r="IU334" s="104"/>
      <c r="IV334" s="104"/>
      <c r="IW334" s="104"/>
      <c r="IX334" s="104"/>
      <c r="IY334" s="104"/>
      <c r="IZ334" s="104"/>
      <c r="JA334" s="104"/>
    </row>
    <row r="335" spans="2:261" x14ac:dyDescent="0.2">
      <c r="B335" s="104"/>
      <c r="C335" s="104"/>
      <c r="D335" s="104"/>
      <c r="E335" s="104"/>
      <c r="F335" s="104"/>
      <c r="G335" s="104"/>
      <c r="H335" s="104"/>
      <c r="I335" s="104"/>
      <c r="J335" s="151"/>
      <c r="K335" s="104"/>
      <c r="L335" s="104"/>
      <c r="M335" s="104"/>
      <c r="N335" s="151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  <c r="CH335" s="104"/>
      <c r="CI335" s="104"/>
      <c r="CJ335" s="104"/>
      <c r="CK335" s="104"/>
      <c r="CL335" s="104"/>
      <c r="CM335" s="104"/>
      <c r="CN335" s="104"/>
      <c r="CO335" s="104"/>
      <c r="CP335" s="104"/>
      <c r="CQ335" s="104"/>
      <c r="CR335" s="104"/>
      <c r="CS335" s="104"/>
      <c r="CT335" s="104"/>
      <c r="CU335" s="104"/>
      <c r="CV335" s="104"/>
      <c r="CW335" s="104"/>
      <c r="CX335" s="104"/>
      <c r="CY335" s="104"/>
      <c r="CZ335" s="104"/>
      <c r="DA335" s="104"/>
      <c r="DB335" s="104"/>
      <c r="DC335" s="104"/>
      <c r="DD335" s="104"/>
      <c r="DE335" s="104"/>
      <c r="DF335" s="104"/>
      <c r="DG335" s="104"/>
      <c r="DH335" s="104"/>
      <c r="DI335" s="104"/>
      <c r="DJ335" s="104"/>
      <c r="DK335" s="104"/>
      <c r="DL335" s="104"/>
      <c r="DM335" s="104"/>
      <c r="DN335" s="104"/>
      <c r="DO335" s="104"/>
      <c r="DP335" s="104"/>
      <c r="DQ335" s="104"/>
      <c r="DR335" s="104"/>
      <c r="DS335" s="104"/>
      <c r="DT335" s="104"/>
      <c r="DU335" s="104"/>
      <c r="DV335" s="104"/>
      <c r="DW335" s="104"/>
      <c r="DX335" s="104"/>
      <c r="DY335" s="104"/>
      <c r="DZ335" s="104"/>
      <c r="EA335" s="104"/>
      <c r="EB335" s="104"/>
      <c r="EC335" s="104"/>
      <c r="ED335" s="104"/>
      <c r="EE335" s="104"/>
      <c r="EF335" s="104"/>
      <c r="EG335" s="104"/>
      <c r="EH335" s="104"/>
      <c r="EI335" s="104"/>
      <c r="EJ335" s="104"/>
      <c r="EK335" s="104"/>
      <c r="EL335" s="104"/>
      <c r="EM335" s="104"/>
      <c r="EN335" s="104"/>
      <c r="EO335" s="104"/>
      <c r="EP335" s="104"/>
      <c r="EQ335" s="104"/>
      <c r="ER335" s="104"/>
      <c r="ES335" s="104"/>
      <c r="ET335" s="104"/>
      <c r="EU335" s="104"/>
      <c r="EV335" s="104"/>
      <c r="EW335" s="104"/>
      <c r="EX335" s="104"/>
      <c r="EY335" s="104"/>
      <c r="EZ335" s="104"/>
      <c r="FA335" s="104"/>
      <c r="FB335" s="104"/>
      <c r="FC335" s="104"/>
      <c r="FD335" s="104"/>
      <c r="FE335" s="104"/>
      <c r="FF335" s="104"/>
      <c r="FG335" s="104"/>
      <c r="FH335" s="104"/>
      <c r="FI335" s="104"/>
      <c r="FJ335" s="104"/>
      <c r="FK335" s="104"/>
      <c r="FL335" s="104"/>
      <c r="FM335" s="104"/>
      <c r="FN335" s="104"/>
      <c r="FO335" s="104"/>
      <c r="FP335" s="104"/>
      <c r="FQ335" s="104"/>
      <c r="FR335" s="104"/>
      <c r="FS335" s="104"/>
      <c r="FT335" s="104"/>
      <c r="FU335" s="104"/>
      <c r="FV335" s="104"/>
      <c r="FW335" s="104"/>
      <c r="FX335" s="104"/>
      <c r="FY335" s="104"/>
      <c r="FZ335" s="104"/>
      <c r="GA335" s="104"/>
      <c r="GB335" s="104"/>
      <c r="GC335" s="104"/>
      <c r="GD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  <c r="HA335" s="104"/>
      <c r="HB335" s="104"/>
      <c r="HC335" s="104"/>
      <c r="HD335" s="104"/>
      <c r="HE335" s="104"/>
      <c r="HF335" s="104"/>
      <c r="HG335" s="104"/>
      <c r="HH335" s="104"/>
      <c r="HI335" s="104"/>
      <c r="HJ335" s="104"/>
      <c r="HK335" s="104"/>
      <c r="HL335" s="104"/>
      <c r="HM335" s="104"/>
      <c r="HN335" s="104"/>
      <c r="HO335" s="104"/>
      <c r="HP335" s="104"/>
      <c r="HQ335" s="104"/>
      <c r="HR335" s="104"/>
      <c r="HS335" s="104"/>
      <c r="HT335" s="104"/>
      <c r="HU335" s="104"/>
      <c r="HV335" s="104"/>
      <c r="HW335" s="104"/>
      <c r="HX335" s="104"/>
      <c r="HY335" s="104"/>
      <c r="HZ335" s="104"/>
      <c r="IA335" s="104"/>
      <c r="IB335" s="104"/>
      <c r="IC335" s="104"/>
      <c r="ID335" s="104"/>
      <c r="IE335" s="104"/>
      <c r="IF335" s="104"/>
      <c r="IG335" s="104"/>
      <c r="IH335" s="104"/>
      <c r="II335" s="104"/>
      <c r="IJ335" s="104"/>
      <c r="IK335" s="104"/>
      <c r="IL335" s="104"/>
      <c r="IM335" s="104"/>
      <c r="IN335" s="104"/>
      <c r="IO335" s="104"/>
      <c r="IP335" s="104"/>
      <c r="IQ335" s="104"/>
      <c r="IR335" s="104"/>
      <c r="IS335" s="104"/>
      <c r="IT335" s="104"/>
      <c r="IU335" s="104"/>
      <c r="IV335" s="104"/>
      <c r="IW335" s="104"/>
      <c r="IX335" s="104"/>
      <c r="IY335" s="104"/>
      <c r="IZ335" s="104"/>
      <c r="JA335" s="104"/>
    </row>
    <row r="336" spans="2:261" x14ac:dyDescent="0.2">
      <c r="B336" s="104"/>
      <c r="C336" s="104"/>
      <c r="D336" s="104"/>
      <c r="E336" s="104"/>
      <c r="F336" s="104"/>
      <c r="G336" s="104"/>
      <c r="H336" s="104"/>
      <c r="I336" s="104"/>
      <c r="J336" s="151"/>
      <c r="K336" s="104"/>
      <c r="L336" s="104"/>
      <c r="M336" s="104"/>
      <c r="N336" s="151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  <c r="CH336" s="104"/>
      <c r="CI336" s="104"/>
      <c r="CJ336" s="104"/>
      <c r="CK336" s="104"/>
      <c r="CL336" s="104"/>
      <c r="CM336" s="104"/>
      <c r="CN336" s="104"/>
      <c r="CO336" s="104"/>
      <c r="CP336" s="104"/>
      <c r="CQ336" s="104"/>
      <c r="CR336" s="104"/>
      <c r="CS336" s="104"/>
      <c r="CT336" s="104"/>
      <c r="CU336" s="104"/>
      <c r="CV336" s="104"/>
      <c r="CW336" s="104"/>
      <c r="CX336" s="104"/>
      <c r="CY336" s="104"/>
      <c r="CZ336" s="104"/>
      <c r="DA336" s="104"/>
      <c r="DB336" s="104"/>
      <c r="DC336" s="104"/>
      <c r="DD336" s="104"/>
      <c r="DE336" s="104"/>
      <c r="DF336" s="104"/>
      <c r="DG336" s="104"/>
      <c r="DH336" s="104"/>
      <c r="DI336" s="104"/>
      <c r="DJ336" s="104"/>
      <c r="DK336" s="104"/>
      <c r="DL336" s="104"/>
      <c r="DM336" s="104"/>
      <c r="DN336" s="104"/>
      <c r="DO336" s="104"/>
      <c r="DP336" s="104"/>
      <c r="DQ336" s="104"/>
      <c r="DR336" s="104"/>
      <c r="DS336" s="104"/>
      <c r="DT336" s="104"/>
      <c r="DU336" s="104"/>
      <c r="DV336" s="104"/>
      <c r="DW336" s="104"/>
      <c r="DX336" s="104"/>
      <c r="DY336" s="104"/>
      <c r="DZ336" s="104"/>
      <c r="EA336" s="104"/>
      <c r="EB336" s="104"/>
      <c r="EC336" s="104"/>
      <c r="ED336" s="104"/>
      <c r="EE336" s="104"/>
      <c r="EF336" s="104"/>
      <c r="EG336" s="104"/>
      <c r="EH336" s="104"/>
      <c r="EI336" s="104"/>
      <c r="EJ336" s="104"/>
      <c r="EK336" s="104"/>
      <c r="EL336" s="104"/>
      <c r="EM336" s="104"/>
      <c r="EN336" s="104"/>
      <c r="EO336" s="104"/>
      <c r="EP336" s="104"/>
      <c r="EQ336" s="104"/>
      <c r="ER336" s="104"/>
      <c r="ES336" s="104"/>
      <c r="ET336" s="104"/>
      <c r="EU336" s="104"/>
      <c r="EV336" s="104"/>
      <c r="EW336" s="104"/>
      <c r="EX336" s="104"/>
      <c r="EY336" s="104"/>
      <c r="EZ336" s="104"/>
      <c r="FA336" s="104"/>
      <c r="FB336" s="104"/>
      <c r="FC336" s="104"/>
      <c r="FD336" s="104"/>
      <c r="FE336" s="104"/>
      <c r="FF336" s="104"/>
      <c r="FG336" s="104"/>
      <c r="FH336" s="104"/>
      <c r="FI336" s="104"/>
      <c r="FJ336" s="104"/>
      <c r="FK336" s="104"/>
      <c r="FL336" s="104"/>
      <c r="FM336" s="104"/>
      <c r="FN336" s="104"/>
      <c r="FO336" s="104"/>
      <c r="FP336" s="104"/>
      <c r="FQ336" s="104"/>
      <c r="FR336" s="104"/>
      <c r="FS336" s="104"/>
      <c r="FT336" s="104"/>
      <c r="FU336" s="104"/>
      <c r="FV336" s="104"/>
      <c r="FW336" s="104"/>
      <c r="FX336" s="104"/>
      <c r="FY336" s="104"/>
      <c r="FZ336" s="104"/>
      <c r="GA336" s="104"/>
      <c r="GB336" s="104"/>
      <c r="GC336" s="104"/>
      <c r="GD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  <c r="HA336" s="104"/>
      <c r="HB336" s="104"/>
      <c r="HC336" s="104"/>
      <c r="HD336" s="104"/>
      <c r="HE336" s="104"/>
      <c r="HF336" s="104"/>
      <c r="HG336" s="104"/>
      <c r="HH336" s="104"/>
      <c r="HI336" s="104"/>
      <c r="HJ336" s="104"/>
      <c r="HK336" s="104"/>
      <c r="HL336" s="104"/>
      <c r="HM336" s="104"/>
      <c r="HN336" s="104"/>
      <c r="HO336" s="104"/>
      <c r="HP336" s="104"/>
      <c r="HQ336" s="104"/>
      <c r="HR336" s="104"/>
      <c r="HS336" s="104"/>
      <c r="HT336" s="104"/>
      <c r="HU336" s="104"/>
      <c r="HV336" s="104"/>
      <c r="HW336" s="104"/>
      <c r="HX336" s="104"/>
      <c r="HY336" s="104"/>
      <c r="HZ336" s="104"/>
      <c r="IA336" s="104"/>
      <c r="IB336" s="104"/>
      <c r="IC336" s="104"/>
      <c r="ID336" s="104"/>
      <c r="IE336" s="104"/>
      <c r="IF336" s="104"/>
      <c r="IG336" s="104"/>
      <c r="IH336" s="104"/>
      <c r="II336" s="104"/>
      <c r="IJ336" s="104"/>
      <c r="IK336" s="104"/>
      <c r="IL336" s="104"/>
      <c r="IM336" s="104"/>
      <c r="IN336" s="104"/>
      <c r="IO336" s="104"/>
      <c r="IP336" s="104"/>
      <c r="IQ336" s="104"/>
      <c r="IR336" s="104"/>
      <c r="IS336" s="104"/>
      <c r="IT336" s="104"/>
      <c r="IU336" s="104"/>
      <c r="IV336" s="104"/>
      <c r="IW336" s="104"/>
      <c r="IX336" s="104"/>
      <c r="IY336" s="104"/>
      <c r="IZ336" s="104"/>
      <c r="JA336" s="104"/>
    </row>
    <row r="337" spans="2:261" x14ac:dyDescent="0.2">
      <c r="B337" s="104"/>
      <c r="C337" s="104"/>
      <c r="D337" s="104"/>
      <c r="E337" s="104"/>
      <c r="F337" s="104"/>
      <c r="G337" s="104"/>
      <c r="H337" s="104"/>
      <c r="I337" s="104"/>
      <c r="J337" s="151"/>
      <c r="K337" s="104"/>
      <c r="L337" s="104"/>
      <c r="M337" s="104"/>
      <c r="N337" s="151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  <c r="CH337" s="104"/>
      <c r="CI337" s="104"/>
      <c r="CJ337" s="104"/>
      <c r="CK337" s="104"/>
      <c r="CL337" s="104"/>
      <c r="CM337" s="104"/>
      <c r="CN337" s="104"/>
      <c r="CO337" s="104"/>
      <c r="CP337" s="104"/>
      <c r="CQ337" s="104"/>
      <c r="CR337" s="104"/>
      <c r="CS337" s="104"/>
      <c r="CT337" s="104"/>
      <c r="CU337" s="104"/>
      <c r="CV337" s="104"/>
      <c r="CW337" s="104"/>
      <c r="CX337" s="104"/>
      <c r="CY337" s="104"/>
      <c r="CZ337" s="104"/>
      <c r="DA337" s="104"/>
      <c r="DB337" s="104"/>
      <c r="DC337" s="104"/>
      <c r="DD337" s="104"/>
      <c r="DE337" s="104"/>
      <c r="DF337" s="104"/>
      <c r="DG337" s="104"/>
      <c r="DH337" s="104"/>
      <c r="DI337" s="104"/>
      <c r="DJ337" s="104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104"/>
      <c r="DV337" s="104"/>
      <c r="DW337" s="104"/>
      <c r="DX337" s="104"/>
      <c r="DY337" s="104"/>
      <c r="DZ337" s="104"/>
      <c r="EA337" s="104"/>
      <c r="EB337" s="104"/>
      <c r="EC337" s="104"/>
      <c r="ED337" s="104"/>
      <c r="EE337" s="104"/>
      <c r="EF337" s="104"/>
      <c r="EG337" s="104"/>
      <c r="EH337" s="104"/>
      <c r="EI337" s="104"/>
      <c r="EJ337" s="104"/>
      <c r="EK337" s="104"/>
      <c r="EL337" s="104"/>
      <c r="EM337" s="104"/>
      <c r="EN337" s="104"/>
      <c r="EO337" s="104"/>
      <c r="EP337" s="104"/>
      <c r="EQ337" s="104"/>
      <c r="ER337" s="104"/>
      <c r="ES337" s="104"/>
      <c r="ET337" s="104"/>
      <c r="EU337" s="104"/>
      <c r="EV337" s="104"/>
      <c r="EW337" s="104"/>
      <c r="EX337" s="104"/>
      <c r="EY337" s="104"/>
      <c r="EZ337" s="104"/>
      <c r="FA337" s="104"/>
      <c r="FB337" s="104"/>
      <c r="FC337" s="104"/>
      <c r="FD337" s="104"/>
      <c r="FE337" s="104"/>
      <c r="FF337" s="104"/>
      <c r="FG337" s="104"/>
      <c r="FH337" s="104"/>
      <c r="FI337" s="104"/>
      <c r="FJ337" s="104"/>
      <c r="FK337" s="104"/>
      <c r="FL337" s="104"/>
      <c r="FM337" s="104"/>
      <c r="FN337" s="104"/>
      <c r="FO337" s="104"/>
      <c r="FP337" s="104"/>
      <c r="FQ337" s="104"/>
      <c r="FR337" s="104"/>
      <c r="FS337" s="104"/>
      <c r="FT337" s="104"/>
      <c r="FU337" s="104"/>
      <c r="FV337" s="104"/>
      <c r="FW337" s="104"/>
      <c r="FX337" s="104"/>
      <c r="FY337" s="104"/>
      <c r="FZ337" s="104"/>
      <c r="GA337" s="104"/>
      <c r="GB337" s="104"/>
      <c r="GC337" s="104"/>
      <c r="GD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  <c r="HA337" s="104"/>
      <c r="HB337" s="104"/>
      <c r="HC337" s="104"/>
      <c r="HD337" s="104"/>
      <c r="HE337" s="104"/>
      <c r="HF337" s="104"/>
      <c r="HG337" s="104"/>
      <c r="HH337" s="104"/>
      <c r="HI337" s="104"/>
      <c r="HJ337" s="104"/>
      <c r="HK337" s="104"/>
      <c r="HL337" s="104"/>
      <c r="HM337" s="104"/>
      <c r="HN337" s="104"/>
      <c r="HO337" s="104"/>
      <c r="HP337" s="104"/>
      <c r="HQ337" s="104"/>
      <c r="HR337" s="104"/>
      <c r="HS337" s="104"/>
      <c r="HT337" s="104"/>
      <c r="HU337" s="104"/>
      <c r="HV337" s="104"/>
      <c r="HW337" s="104"/>
      <c r="HX337" s="104"/>
      <c r="HY337" s="104"/>
      <c r="HZ337" s="104"/>
      <c r="IA337" s="104"/>
      <c r="IB337" s="104"/>
      <c r="IC337" s="104"/>
      <c r="ID337" s="104"/>
      <c r="IE337" s="104"/>
      <c r="IF337" s="104"/>
      <c r="IG337" s="104"/>
      <c r="IH337" s="104"/>
      <c r="II337" s="104"/>
      <c r="IJ337" s="104"/>
      <c r="IK337" s="104"/>
      <c r="IL337" s="104"/>
      <c r="IM337" s="104"/>
      <c r="IN337" s="104"/>
      <c r="IO337" s="104"/>
      <c r="IP337" s="104"/>
      <c r="IQ337" s="104"/>
      <c r="IR337" s="104"/>
      <c r="IS337" s="104"/>
      <c r="IT337" s="104"/>
      <c r="IU337" s="104"/>
      <c r="IV337" s="104"/>
      <c r="IW337" s="104"/>
      <c r="IX337" s="104"/>
      <c r="IY337" s="104"/>
      <c r="IZ337" s="104"/>
      <c r="JA337" s="104"/>
    </row>
    <row r="338" spans="2:261" x14ac:dyDescent="0.2">
      <c r="B338" s="104"/>
      <c r="C338" s="104"/>
      <c r="D338" s="104"/>
      <c r="E338" s="104"/>
      <c r="F338" s="104"/>
      <c r="G338" s="104"/>
      <c r="H338" s="104"/>
      <c r="I338" s="104"/>
      <c r="J338" s="151"/>
      <c r="K338" s="104"/>
      <c r="L338" s="104"/>
      <c r="M338" s="104"/>
      <c r="N338" s="151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  <c r="CH338" s="104"/>
      <c r="CI338" s="104"/>
      <c r="CJ338" s="104"/>
      <c r="CK338" s="104"/>
      <c r="CL338" s="104"/>
      <c r="CM338" s="104"/>
      <c r="CN338" s="104"/>
      <c r="CO338" s="104"/>
      <c r="CP338" s="104"/>
      <c r="CQ338" s="104"/>
      <c r="CR338" s="104"/>
      <c r="CS338" s="104"/>
      <c r="CT338" s="104"/>
      <c r="CU338" s="104"/>
      <c r="CV338" s="104"/>
      <c r="CW338" s="104"/>
      <c r="CX338" s="104"/>
      <c r="CY338" s="104"/>
      <c r="CZ338" s="104"/>
      <c r="DA338" s="104"/>
      <c r="DB338" s="104"/>
      <c r="DC338" s="104"/>
      <c r="DD338" s="104"/>
      <c r="DE338" s="104"/>
      <c r="DF338" s="104"/>
      <c r="DG338" s="104"/>
      <c r="DH338" s="104"/>
      <c r="DI338" s="104"/>
      <c r="DJ338" s="104"/>
      <c r="DK338" s="104"/>
      <c r="DL338" s="104"/>
      <c r="DM338" s="104"/>
      <c r="DN338" s="104"/>
      <c r="DO338" s="104"/>
      <c r="DP338" s="104"/>
      <c r="DQ338" s="104"/>
      <c r="DR338" s="104"/>
      <c r="DS338" s="104"/>
      <c r="DT338" s="104"/>
      <c r="DU338" s="104"/>
      <c r="DV338" s="104"/>
      <c r="DW338" s="104"/>
      <c r="DX338" s="104"/>
      <c r="DY338" s="104"/>
      <c r="DZ338" s="104"/>
      <c r="EA338" s="104"/>
      <c r="EB338" s="104"/>
      <c r="EC338" s="104"/>
      <c r="ED338" s="104"/>
      <c r="EE338" s="104"/>
      <c r="EF338" s="104"/>
      <c r="EG338" s="104"/>
      <c r="EH338" s="104"/>
      <c r="EI338" s="104"/>
      <c r="EJ338" s="104"/>
      <c r="EK338" s="104"/>
      <c r="EL338" s="104"/>
      <c r="EM338" s="104"/>
      <c r="EN338" s="104"/>
      <c r="EO338" s="104"/>
      <c r="EP338" s="104"/>
      <c r="EQ338" s="104"/>
      <c r="ER338" s="104"/>
      <c r="ES338" s="104"/>
      <c r="ET338" s="104"/>
      <c r="EU338" s="104"/>
      <c r="EV338" s="104"/>
      <c r="EW338" s="104"/>
      <c r="EX338" s="104"/>
      <c r="EY338" s="104"/>
      <c r="EZ338" s="104"/>
      <c r="FA338" s="104"/>
      <c r="FB338" s="104"/>
      <c r="FC338" s="104"/>
      <c r="FD338" s="104"/>
      <c r="FE338" s="104"/>
      <c r="FF338" s="104"/>
      <c r="FG338" s="104"/>
      <c r="FH338" s="104"/>
      <c r="FI338" s="104"/>
      <c r="FJ338" s="104"/>
      <c r="FK338" s="104"/>
      <c r="FL338" s="104"/>
      <c r="FM338" s="104"/>
      <c r="FN338" s="104"/>
      <c r="FO338" s="104"/>
      <c r="FP338" s="104"/>
      <c r="FQ338" s="104"/>
      <c r="FR338" s="104"/>
      <c r="FS338" s="104"/>
      <c r="FT338" s="104"/>
      <c r="FU338" s="104"/>
      <c r="FV338" s="104"/>
      <c r="FW338" s="104"/>
      <c r="FX338" s="104"/>
      <c r="FY338" s="104"/>
      <c r="FZ338" s="104"/>
      <c r="GA338" s="104"/>
      <c r="GB338" s="104"/>
      <c r="GC338" s="104"/>
      <c r="GD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  <c r="HA338" s="104"/>
      <c r="HB338" s="104"/>
      <c r="HC338" s="104"/>
      <c r="HD338" s="104"/>
      <c r="HE338" s="104"/>
      <c r="HF338" s="104"/>
      <c r="HG338" s="104"/>
      <c r="HH338" s="104"/>
      <c r="HI338" s="104"/>
      <c r="HJ338" s="104"/>
      <c r="HK338" s="104"/>
      <c r="HL338" s="104"/>
      <c r="HM338" s="104"/>
      <c r="HN338" s="104"/>
      <c r="HO338" s="104"/>
      <c r="HP338" s="104"/>
      <c r="HQ338" s="104"/>
      <c r="HR338" s="104"/>
      <c r="HS338" s="104"/>
      <c r="HT338" s="104"/>
      <c r="HU338" s="104"/>
      <c r="HV338" s="104"/>
      <c r="HW338" s="104"/>
      <c r="HX338" s="104"/>
      <c r="HY338" s="104"/>
      <c r="HZ338" s="104"/>
      <c r="IA338" s="104"/>
      <c r="IB338" s="104"/>
      <c r="IC338" s="104"/>
      <c r="ID338" s="104"/>
      <c r="IE338" s="104"/>
      <c r="IF338" s="104"/>
      <c r="IG338" s="104"/>
      <c r="IH338" s="104"/>
      <c r="II338" s="104"/>
      <c r="IJ338" s="104"/>
      <c r="IK338" s="104"/>
      <c r="IL338" s="104"/>
      <c r="IM338" s="104"/>
      <c r="IN338" s="104"/>
      <c r="IO338" s="104"/>
      <c r="IP338" s="104"/>
      <c r="IQ338" s="104"/>
      <c r="IR338" s="104"/>
      <c r="IS338" s="104"/>
      <c r="IT338" s="104"/>
      <c r="IU338" s="104"/>
      <c r="IV338" s="104"/>
      <c r="IW338" s="104"/>
      <c r="IX338" s="104"/>
      <c r="IY338" s="104"/>
      <c r="IZ338" s="104"/>
      <c r="JA338" s="104"/>
    </row>
    <row r="339" spans="2:261" x14ac:dyDescent="0.2">
      <c r="B339" s="104"/>
      <c r="C339" s="104"/>
      <c r="D339" s="104"/>
      <c r="E339" s="104"/>
      <c r="F339" s="104"/>
      <c r="G339" s="104"/>
      <c r="H339" s="104"/>
      <c r="I339" s="104"/>
      <c r="J339" s="151"/>
      <c r="K339" s="104"/>
      <c r="L339" s="104"/>
      <c r="M339" s="104"/>
      <c r="N339" s="151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  <c r="CH339" s="104"/>
      <c r="CI339" s="104"/>
      <c r="CJ339" s="104"/>
      <c r="CK339" s="104"/>
      <c r="CL339" s="104"/>
      <c r="CM339" s="104"/>
      <c r="CN339" s="104"/>
      <c r="CO339" s="104"/>
      <c r="CP339" s="104"/>
      <c r="CQ339" s="104"/>
      <c r="CR339" s="104"/>
      <c r="CS339" s="104"/>
      <c r="CT339" s="104"/>
      <c r="CU339" s="104"/>
      <c r="CV339" s="104"/>
      <c r="CW339" s="104"/>
      <c r="CX339" s="104"/>
      <c r="CY339" s="104"/>
      <c r="CZ339" s="104"/>
      <c r="DA339" s="104"/>
      <c r="DB339" s="104"/>
      <c r="DC339" s="104"/>
      <c r="DD339" s="104"/>
      <c r="DE339" s="104"/>
      <c r="DF339" s="104"/>
      <c r="DG339" s="104"/>
      <c r="DH339" s="104"/>
      <c r="DI339" s="104"/>
      <c r="DJ339" s="104"/>
      <c r="DK339" s="104"/>
      <c r="DL339" s="104"/>
      <c r="DM339" s="104"/>
      <c r="DN339" s="104"/>
      <c r="DO339" s="104"/>
      <c r="DP339" s="104"/>
      <c r="DQ339" s="104"/>
      <c r="DR339" s="104"/>
      <c r="DS339" s="104"/>
      <c r="DT339" s="104"/>
      <c r="DU339" s="104"/>
      <c r="DV339" s="104"/>
      <c r="DW339" s="104"/>
      <c r="DX339" s="104"/>
      <c r="DY339" s="104"/>
      <c r="DZ339" s="104"/>
      <c r="EA339" s="104"/>
      <c r="EB339" s="104"/>
      <c r="EC339" s="104"/>
      <c r="ED339" s="104"/>
      <c r="EE339" s="104"/>
      <c r="EF339" s="104"/>
      <c r="EG339" s="104"/>
      <c r="EH339" s="104"/>
      <c r="EI339" s="104"/>
      <c r="EJ339" s="104"/>
      <c r="EK339" s="104"/>
      <c r="EL339" s="104"/>
      <c r="EM339" s="104"/>
      <c r="EN339" s="104"/>
      <c r="EO339" s="104"/>
      <c r="EP339" s="104"/>
      <c r="EQ339" s="104"/>
      <c r="ER339" s="104"/>
      <c r="ES339" s="104"/>
      <c r="ET339" s="104"/>
      <c r="EU339" s="104"/>
      <c r="EV339" s="104"/>
      <c r="EW339" s="104"/>
      <c r="EX339" s="104"/>
      <c r="EY339" s="104"/>
      <c r="EZ339" s="104"/>
      <c r="FA339" s="104"/>
      <c r="FB339" s="104"/>
      <c r="FC339" s="104"/>
      <c r="FD339" s="104"/>
      <c r="FE339" s="104"/>
      <c r="FF339" s="104"/>
      <c r="FG339" s="104"/>
      <c r="FH339" s="104"/>
      <c r="FI339" s="104"/>
      <c r="FJ339" s="104"/>
      <c r="FK339" s="104"/>
      <c r="FL339" s="104"/>
      <c r="FM339" s="104"/>
      <c r="FN339" s="104"/>
      <c r="FO339" s="104"/>
      <c r="FP339" s="104"/>
      <c r="FQ339" s="104"/>
      <c r="FR339" s="104"/>
      <c r="FS339" s="104"/>
      <c r="FT339" s="104"/>
      <c r="FU339" s="104"/>
      <c r="FV339" s="104"/>
      <c r="FW339" s="104"/>
      <c r="FX339" s="104"/>
      <c r="FY339" s="104"/>
      <c r="FZ339" s="104"/>
      <c r="GA339" s="104"/>
      <c r="GB339" s="104"/>
      <c r="GC339" s="104"/>
      <c r="GD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  <c r="HA339" s="104"/>
      <c r="HB339" s="104"/>
      <c r="HC339" s="104"/>
      <c r="HD339" s="104"/>
      <c r="HE339" s="104"/>
      <c r="HF339" s="104"/>
      <c r="HG339" s="104"/>
      <c r="HH339" s="104"/>
      <c r="HI339" s="104"/>
      <c r="HJ339" s="104"/>
      <c r="HK339" s="104"/>
      <c r="HL339" s="104"/>
      <c r="HM339" s="104"/>
      <c r="HN339" s="104"/>
      <c r="HO339" s="104"/>
      <c r="HP339" s="104"/>
      <c r="HQ339" s="104"/>
      <c r="HR339" s="104"/>
      <c r="HS339" s="104"/>
      <c r="HT339" s="104"/>
      <c r="HU339" s="104"/>
      <c r="HV339" s="104"/>
      <c r="HW339" s="104"/>
      <c r="HX339" s="104"/>
      <c r="HY339" s="104"/>
      <c r="HZ339" s="104"/>
      <c r="IA339" s="104"/>
      <c r="IB339" s="104"/>
      <c r="IC339" s="104"/>
      <c r="ID339" s="104"/>
      <c r="IE339" s="104"/>
      <c r="IF339" s="104"/>
      <c r="IG339" s="104"/>
      <c r="IH339" s="104"/>
      <c r="II339" s="104"/>
      <c r="IJ339" s="104"/>
      <c r="IK339" s="104"/>
      <c r="IL339" s="104"/>
      <c r="IM339" s="104"/>
      <c r="IN339" s="104"/>
      <c r="IO339" s="104"/>
      <c r="IP339" s="104"/>
      <c r="IQ339" s="104"/>
      <c r="IR339" s="104"/>
      <c r="IS339" s="104"/>
      <c r="IT339" s="104"/>
      <c r="IU339" s="104"/>
      <c r="IV339" s="104"/>
      <c r="IW339" s="104"/>
      <c r="IX339" s="104"/>
      <c r="IY339" s="104"/>
      <c r="IZ339" s="104"/>
      <c r="JA339" s="104"/>
    </row>
    <row r="340" spans="2:261" x14ac:dyDescent="0.2">
      <c r="B340" s="104"/>
      <c r="C340" s="104"/>
      <c r="D340" s="104"/>
      <c r="E340" s="104"/>
      <c r="F340" s="104"/>
      <c r="G340" s="104"/>
      <c r="H340" s="104"/>
      <c r="I340" s="104"/>
      <c r="J340" s="151"/>
      <c r="K340" s="104"/>
      <c r="L340" s="104"/>
      <c r="M340" s="104"/>
      <c r="N340" s="151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  <c r="CH340" s="104"/>
      <c r="CI340" s="104"/>
      <c r="CJ340" s="104"/>
      <c r="CK340" s="104"/>
      <c r="CL340" s="104"/>
      <c r="CM340" s="104"/>
      <c r="CN340" s="104"/>
      <c r="CO340" s="104"/>
      <c r="CP340" s="104"/>
      <c r="CQ340" s="104"/>
      <c r="CR340" s="104"/>
      <c r="CS340" s="104"/>
      <c r="CT340" s="104"/>
      <c r="CU340" s="104"/>
      <c r="CV340" s="104"/>
      <c r="CW340" s="104"/>
      <c r="CX340" s="104"/>
      <c r="CY340" s="104"/>
      <c r="CZ340" s="104"/>
      <c r="DA340" s="104"/>
      <c r="DB340" s="104"/>
      <c r="DC340" s="104"/>
      <c r="DD340" s="104"/>
      <c r="DE340" s="104"/>
      <c r="DF340" s="104"/>
      <c r="DG340" s="104"/>
      <c r="DH340" s="104"/>
      <c r="DI340" s="104"/>
      <c r="DJ340" s="104"/>
      <c r="DK340" s="104"/>
      <c r="DL340" s="104"/>
      <c r="DM340" s="104"/>
      <c r="DN340" s="104"/>
      <c r="DO340" s="104"/>
      <c r="DP340" s="104"/>
      <c r="DQ340" s="104"/>
      <c r="DR340" s="104"/>
      <c r="DS340" s="104"/>
      <c r="DT340" s="104"/>
      <c r="DU340" s="104"/>
      <c r="DV340" s="104"/>
      <c r="DW340" s="104"/>
      <c r="DX340" s="104"/>
      <c r="DY340" s="104"/>
      <c r="DZ340" s="104"/>
      <c r="EA340" s="104"/>
      <c r="EB340" s="104"/>
      <c r="EC340" s="104"/>
      <c r="ED340" s="104"/>
      <c r="EE340" s="104"/>
      <c r="EF340" s="104"/>
      <c r="EG340" s="104"/>
      <c r="EH340" s="104"/>
      <c r="EI340" s="104"/>
      <c r="EJ340" s="104"/>
      <c r="EK340" s="104"/>
      <c r="EL340" s="104"/>
      <c r="EM340" s="104"/>
      <c r="EN340" s="104"/>
      <c r="EO340" s="104"/>
      <c r="EP340" s="104"/>
      <c r="EQ340" s="104"/>
      <c r="ER340" s="104"/>
      <c r="ES340" s="104"/>
      <c r="ET340" s="104"/>
      <c r="EU340" s="104"/>
      <c r="EV340" s="104"/>
      <c r="EW340" s="104"/>
      <c r="EX340" s="104"/>
      <c r="EY340" s="104"/>
      <c r="EZ340" s="104"/>
      <c r="FA340" s="104"/>
      <c r="FB340" s="104"/>
      <c r="FC340" s="104"/>
      <c r="FD340" s="104"/>
      <c r="FE340" s="104"/>
      <c r="FF340" s="104"/>
      <c r="FG340" s="104"/>
      <c r="FH340" s="104"/>
      <c r="FI340" s="104"/>
      <c r="FJ340" s="104"/>
      <c r="FK340" s="104"/>
      <c r="FL340" s="104"/>
      <c r="FM340" s="104"/>
      <c r="FN340" s="104"/>
      <c r="FO340" s="104"/>
      <c r="FP340" s="104"/>
      <c r="FQ340" s="104"/>
      <c r="FR340" s="104"/>
      <c r="FS340" s="104"/>
      <c r="FT340" s="104"/>
      <c r="FU340" s="104"/>
      <c r="FV340" s="104"/>
      <c r="FW340" s="104"/>
      <c r="FX340" s="104"/>
      <c r="FY340" s="104"/>
      <c r="FZ340" s="104"/>
      <c r="GA340" s="104"/>
      <c r="GB340" s="104"/>
      <c r="GC340" s="104"/>
      <c r="GD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  <c r="HA340" s="104"/>
      <c r="HB340" s="104"/>
      <c r="HC340" s="104"/>
      <c r="HD340" s="104"/>
      <c r="HE340" s="104"/>
      <c r="HF340" s="104"/>
      <c r="HG340" s="104"/>
      <c r="HH340" s="104"/>
      <c r="HI340" s="104"/>
      <c r="HJ340" s="104"/>
      <c r="HK340" s="104"/>
      <c r="HL340" s="104"/>
      <c r="HM340" s="104"/>
      <c r="HN340" s="104"/>
      <c r="HO340" s="104"/>
      <c r="HP340" s="104"/>
      <c r="HQ340" s="104"/>
      <c r="HR340" s="104"/>
      <c r="HS340" s="104"/>
      <c r="HT340" s="104"/>
      <c r="HU340" s="104"/>
      <c r="HV340" s="104"/>
      <c r="HW340" s="104"/>
      <c r="HX340" s="104"/>
      <c r="HY340" s="104"/>
      <c r="HZ340" s="104"/>
      <c r="IA340" s="104"/>
      <c r="IB340" s="104"/>
      <c r="IC340" s="104"/>
      <c r="ID340" s="104"/>
      <c r="IE340" s="104"/>
      <c r="IF340" s="104"/>
      <c r="IG340" s="104"/>
      <c r="IH340" s="104"/>
      <c r="II340" s="104"/>
      <c r="IJ340" s="104"/>
      <c r="IK340" s="104"/>
      <c r="IL340" s="104"/>
      <c r="IM340" s="104"/>
      <c r="IN340" s="104"/>
      <c r="IO340" s="104"/>
      <c r="IP340" s="104"/>
      <c r="IQ340" s="104"/>
      <c r="IR340" s="104"/>
      <c r="IS340" s="104"/>
      <c r="IT340" s="104"/>
      <c r="IU340" s="104"/>
      <c r="IV340" s="104"/>
      <c r="IW340" s="104"/>
      <c r="IX340" s="104"/>
      <c r="IY340" s="104"/>
      <c r="IZ340" s="104"/>
      <c r="JA340" s="104"/>
    </row>
    <row r="341" spans="2:261" x14ac:dyDescent="0.2">
      <c r="B341" s="104"/>
      <c r="C341" s="104"/>
      <c r="D341" s="104"/>
      <c r="E341" s="104"/>
      <c r="F341" s="104"/>
      <c r="G341" s="104"/>
      <c r="H341" s="104"/>
      <c r="I341" s="104"/>
      <c r="J341" s="151"/>
      <c r="K341" s="104"/>
      <c r="L341" s="104"/>
      <c r="M341" s="104"/>
      <c r="N341" s="151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  <c r="CH341" s="104"/>
      <c r="CI341" s="104"/>
      <c r="CJ341" s="104"/>
      <c r="CK341" s="104"/>
      <c r="CL341" s="104"/>
      <c r="CM341" s="104"/>
      <c r="CN341" s="104"/>
      <c r="CO341" s="104"/>
      <c r="CP341" s="104"/>
      <c r="CQ341" s="104"/>
      <c r="CR341" s="104"/>
      <c r="CS341" s="104"/>
      <c r="CT341" s="104"/>
      <c r="CU341" s="104"/>
      <c r="CV341" s="104"/>
      <c r="CW341" s="104"/>
      <c r="CX341" s="104"/>
      <c r="CY341" s="104"/>
      <c r="CZ341" s="104"/>
      <c r="DA341" s="104"/>
      <c r="DB341" s="104"/>
      <c r="DC341" s="104"/>
      <c r="DD341" s="104"/>
      <c r="DE341" s="104"/>
      <c r="DF341" s="104"/>
      <c r="DG341" s="104"/>
      <c r="DH341" s="104"/>
      <c r="DI341" s="104"/>
      <c r="DJ341" s="104"/>
      <c r="DK341" s="104"/>
      <c r="DL341" s="104"/>
      <c r="DM341" s="104"/>
      <c r="DN341" s="104"/>
      <c r="DO341" s="104"/>
      <c r="DP341" s="104"/>
      <c r="DQ341" s="104"/>
      <c r="DR341" s="104"/>
      <c r="DS341" s="104"/>
      <c r="DT341" s="104"/>
      <c r="DU341" s="104"/>
      <c r="DV341" s="104"/>
      <c r="DW341" s="104"/>
      <c r="DX341" s="104"/>
      <c r="DY341" s="104"/>
      <c r="DZ341" s="104"/>
      <c r="EA341" s="104"/>
      <c r="EB341" s="104"/>
      <c r="EC341" s="104"/>
      <c r="ED341" s="104"/>
      <c r="EE341" s="104"/>
      <c r="EF341" s="104"/>
      <c r="EG341" s="104"/>
      <c r="EH341" s="104"/>
      <c r="EI341" s="104"/>
      <c r="EJ341" s="104"/>
      <c r="EK341" s="104"/>
      <c r="EL341" s="104"/>
      <c r="EM341" s="104"/>
      <c r="EN341" s="104"/>
      <c r="EO341" s="104"/>
      <c r="EP341" s="104"/>
      <c r="EQ341" s="104"/>
      <c r="ER341" s="104"/>
      <c r="ES341" s="104"/>
      <c r="ET341" s="104"/>
      <c r="EU341" s="104"/>
      <c r="EV341" s="104"/>
      <c r="EW341" s="104"/>
      <c r="EX341" s="104"/>
      <c r="EY341" s="104"/>
      <c r="EZ341" s="104"/>
      <c r="FA341" s="104"/>
      <c r="FB341" s="104"/>
      <c r="FC341" s="104"/>
      <c r="FD341" s="104"/>
      <c r="FE341" s="104"/>
      <c r="FF341" s="104"/>
      <c r="FG341" s="104"/>
      <c r="FH341" s="104"/>
      <c r="FI341" s="104"/>
      <c r="FJ341" s="104"/>
      <c r="FK341" s="104"/>
      <c r="FL341" s="104"/>
      <c r="FM341" s="104"/>
      <c r="FN341" s="104"/>
      <c r="FO341" s="104"/>
      <c r="FP341" s="104"/>
      <c r="FQ341" s="104"/>
      <c r="FR341" s="104"/>
      <c r="FS341" s="104"/>
      <c r="FT341" s="104"/>
      <c r="FU341" s="104"/>
      <c r="FV341" s="104"/>
      <c r="FW341" s="104"/>
      <c r="FX341" s="104"/>
      <c r="FY341" s="104"/>
      <c r="FZ341" s="104"/>
      <c r="GA341" s="104"/>
      <c r="GB341" s="104"/>
      <c r="GC341" s="104"/>
      <c r="GD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  <c r="HA341" s="104"/>
      <c r="HB341" s="104"/>
      <c r="HC341" s="104"/>
      <c r="HD341" s="104"/>
      <c r="HE341" s="104"/>
      <c r="HF341" s="104"/>
      <c r="HG341" s="104"/>
      <c r="HH341" s="104"/>
      <c r="HI341" s="104"/>
      <c r="HJ341" s="104"/>
      <c r="HK341" s="104"/>
      <c r="HL341" s="104"/>
      <c r="HM341" s="104"/>
      <c r="HN341" s="104"/>
      <c r="HO341" s="104"/>
      <c r="HP341" s="104"/>
      <c r="HQ341" s="104"/>
      <c r="HR341" s="104"/>
      <c r="HS341" s="104"/>
      <c r="HT341" s="104"/>
      <c r="HU341" s="104"/>
      <c r="HV341" s="104"/>
      <c r="HW341" s="104"/>
      <c r="HX341" s="104"/>
      <c r="HY341" s="104"/>
      <c r="HZ341" s="104"/>
      <c r="IA341" s="104"/>
      <c r="IB341" s="104"/>
      <c r="IC341" s="104"/>
      <c r="ID341" s="104"/>
      <c r="IE341" s="104"/>
      <c r="IF341" s="104"/>
      <c r="IG341" s="104"/>
      <c r="IH341" s="104"/>
      <c r="II341" s="104"/>
      <c r="IJ341" s="104"/>
      <c r="IK341" s="104"/>
      <c r="IL341" s="104"/>
      <c r="IM341" s="104"/>
      <c r="IN341" s="104"/>
      <c r="IO341" s="104"/>
      <c r="IP341" s="104"/>
      <c r="IQ341" s="104"/>
      <c r="IR341" s="104"/>
      <c r="IS341" s="104"/>
      <c r="IT341" s="104"/>
      <c r="IU341" s="104"/>
      <c r="IV341" s="104"/>
      <c r="IW341" s="104"/>
      <c r="IX341" s="104"/>
      <c r="IY341" s="104"/>
      <c r="IZ341" s="104"/>
      <c r="JA341" s="104"/>
    </row>
    <row r="342" spans="2:261" x14ac:dyDescent="0.2">
      <c r="B342" s="104"/>
      <c r="C342" s="104"/>
      <c r="D342" s="104"/>
      <c r="E342" s="104"/>
      <c r="F342" s="104"/>
      <c r="G342" s="104"/>
      <c r="H342" s="104"/>
      <c r="I342" s="104"/>
      <c r="J342" s="151"/>
      <c r="K342" s="104"/>
      <c r="L342" s="104"/>
      <c r="M342" s="104"/>
      <c r="N342" s="151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  <c r="CH342" s="104"/>
      <c r="CI342" s="104"/>
      <c r="CJ342" s="104"/>
      <c r="CK342" s="104"/>
      <c r="CL342" s="104"/>
      <c r="CM342" s="104"/>
      <c r="CN342" s="104"/>
      <c r="CO342" s="104"/>
      <c r="CP342" s="104"/>
      <c r="CQ342" s="104"/>
      <c r="CR342" s="104"/>
      <c r="CS342" s="104"/>
      <c r="CT342" s="104"/>
      <c r="CU342" s="104"/>
      <c r="CV342" s="104"/>
      <c r="CW342" s="104"/>
      <c r="CX342" s="104"/>
      <c r="CY342" s="104"/>
      <c r="CZ342" s="104"/>
      <c r="DA342" s="104"/>
      <c r="DB342" s="104"/>
      <c r="DC342" s="104"/>
      <c r="DD342" s="104"/>
      <c r="DE342" s="104"/>
      <c r="DF342" s="104"/>
      <c r="DG342" s="104"/>
      <c r="DH342" s="104"/>
      <c r="DI342" s="104"/>
      <c r="DJ342" s="104"/>
      <c r="DK342" s="104"/>
      <c r="DL342" s="104"/>
      <c r="DM342" s="104"/>
      <c r="DN342" s="104"/>
      <c r="DO342" s="104"/>
      <c r="DP342" s="104"/>
      <c r="DQ342" s="104"/>
      <c r="DR342" s="104"/>
      <c r="DS342" s="104"/>
      <c r="DT342" s="104"/>
      <c r="DU342" s="104"/>
      <c r="DV342" s="104"/>
      <c r="DW342" s="104"/>
      <c r="DX342" s="104"/>
      <c r="DY342" s="104"/>
      <c r="DZ342" s="104"/>
      <c r="EA342" s="104"/>
      <c r="EB342" s="104"/>
      <c r="EC342" s="104"/>
      <c r="ED342" s="104"/>
      <c r="EE342" s="104"/>
      <c r="EF342" s="104"/>
      <c r="EG342" s="104"/>
      <c r="EH342" s="104"/>
      <c r="EI342" s="104"/>
      <c r="EJ342" s="104"/>
      <c r="EK342" s="104"/>
      <c r="EL342" s="104"/>
      <c r="EM342" s="104"/>
      <c r="EN342" s="104"/>
      <c r="EO342" s="104"/>
      <c r="EP342" s="104"/>
      <c r="EQ342" s="104"/>
      <c r="ER342" s="104"/>
      <c r="ES342" s="104"/>
      <c r="ET342" s="104"/>
      <c r="EU342" s="104"/>
      <c r="EV342" s="104"/>
      <c r="EW342" s="104"/>
      <c r="EX342" s="104"/>
      <c r="EY342" s="104"/>
      <c r="EZ342" s="104"/>
      <c r="FA342" s="104"/>
      <c r="FB342" s="104"/>
      <c r="FC342" s="104"/>
      <c r="FD342" s="104"/>
      <c r="FE342" s="104"/>
      <c r="FF342" s="104"/>
      <c r="FG342" s="104"/>
      <c r="FH342" s="104"/>
      <c r="FI342" s="104"/>
      <c r="FJ342" s="104"/>
      <c r="FK342" s="104"/>
      <c r="FL342" s="104"/>
      <c r="FM342" s="104"/>
      <c r="FN342" s="104"/>
      <c r="FO342" s="104"/>
      <c r="FP342" s="104"/>
      <c r="FQ342" s="104"/>
      <c r="FR342" s="104"/>
      <c r="FS342" s="104"/>
      <c r="FT342" s="104"/>
      <c r="FU342" s="104"/>
      <c r="FV342" s="104"/>
      <c r="FW342" s="104"/>
      <c r="FX342" s="104"/>
      <c r="FY342" s="104"/>
      <c r="FZ342" s="104"/>
      <c r="GA342" s="104"/>
      <c r="GB342" s="104"/>
      <c r="GC342" s="104"/>
      <c r="GD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  <c r="HA342" s="104"/>
      <c r="HB342" s="104"/>
      <c r="HC342" s="104"/>
      <c r="HD342" s="104"/>
      <c r="HE342" s="104"/>
      <c r="HF342" s="104"/>
      <c r="HG342" s="104"/>
      <c r="HH342" s="104"/>
      <c r="HI342" s="104"/>
      <c r="HJ342" s="104"/>
      <c r="HK342" s="104"/>
      <c r="HL342" s="104"/>
      <c r="HM342" s="104"/>
      <c r="HN342" s="104"/>
      <c r="HO342" s="104"/>
      <c r="HP342" s="104"/>
      <c r="HQ342" s="104"/>
      <c r="HR342" s="104"/>
      <c r="HS342" s="104"/>
      <c r="HT342" s="104"/>
      <c r="HU342" s="104"/>
      <c r="HV342" s="104"/>
      <c r="HW342" s="104"/>
      <c r="HX342" s="104"/>
      <c r="HY342" s="104"/>
      <c r="HZ342" s="104"/>
      <c r="IA342" s="104"/>
      <c r="IB342" s="104"/>
      <c r="IC342" s="104"/>
      <c r="ID342" s="104"/>
      <c r="IE342" s="104"/>
      <c r="IF342" s="104"/>
      <c r="IG342" s="104"/>
      <c r="IH342" s="104"/>
      <c r="II342" s="104"/>
      <c r="IJ342" s="104"/>
      <c r="IK342" s="104"/>
      <c r="IL342" s="104"/>
      <c r="IM342" s="104"/>
      <c r="IN342" s="104"/>
      <c r="IO342" s="104"/>
      <c r="IP342" s="104"/>
      <c r="IQ342" s="104"/>
      <c r="IR342" s="104"/>
      <c r="IS342" s="104"/>
      <c r="IT342" s="104"/>
      <c r="IU342" s="104"/>
      <c r="IV342" s="104"/>
      <c r="IW342" s="104"/>
      <c r="IX342" s="104"/>
      <c r="IY342" s="104"/>
      <c r="IZ342" s="104"/>
      <c r="JA342" s="104"/>
    </row>
    <row r="343" spans="2:261" x14ac:dyDescent="0.2">
      <c r="B343" s="104"/>
      <c r="C343" s="104"/>
      <c r="D343" s="104"/>
      <c r="E343" s="104"/>
      <c r="F343" s="104"/>
      <c r="G343" s="104"/>
      <c r="H343" s="104"/>
      <c r="I343" s="104"/>
      <c r="J343" s="151"/>
      <c r="K343" s="104"/>
      <c r="L343" s="104"/>
      <c r="M343" s="104"/>
      <c r="N343" s="151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  <c r="CH343" s="104"/>
      <c r="CI343" s="104"/>
      <c r="CJ343" s="104"/>
      <c r="CK343" s="104"/>
      <c r="CL343" s="104"/>
      <c r="CM343" s="104"/>
      <c r="CN343" s="104"/>
      <c r="CO343" s="104"/>
      <c r="CP343" s="104"/>
      <c r="CQ343" s="104"/>
      <c r="CR343" s="104"/>
      <c r="CS343" s="104"/>
      <c r="CT343" s="104"/>
      <c r="CU343" s="104"/>
      <c r="CV343" s="104"/>
      <c r="CW343" s="104"/>
      <c r="CX343" s="104"/>
      <c r="CY343" s="104"/>
      <c r="CZ343" s="104"/>
      <c r="DA343" s="104"/>
      <c r="DB343" s="104"/>
      <c r="DC343" s="104"/>
      <c r="DD343" s="104"/>
      <c r="DE343" s="104"/>
      <c r="DF343" s="104"/>
      <c r="DG343" s="104"/>
      <c r="DH343" s="104"/>
      <c r="DI343" s="104"/>
      <c r="DJ343" s="104"/>
      <c r="DK343" s="104"/>
      <c r="DL343" s="104"/>
      <c r="DM343" s="104"/>
      <c r="DN343" s="104"/>
      <c r="DO343" s="104"/>
      <c r="DP343" s="104"/>
      <c r="DQ343" s="104"/>
      <c r="DR343" s="104"/>
      <c r="DS343" s="104"/>
      <c r="DT343" s="104"/>
      <c r="DU343" s="104"/>
      <c r="DV343" s="104"/>
      <c r="DW343" s="104"/>
      <c r="DX343" s="104"/>
      <c r="DY343" s="104"/>
      <c r="DZ343" s="104"/>
      <c r="EA343" s="104"/>
      <c r="EB343" s="104"/>
      <c r="EC343" s="104"/>
      <c r="ED343" s="104"/>
      <c r="EE343" s="104"/>
      <c r="EF343" s="104"/>
      <c r="EG343" s="104"/>
      <c r="EH343" s="104"/>
      <c r="EI343" s="104"/>
      <c r="EJ343" s="104"/>
      <c r="EK343" s="104"/>
      <c r="EL343" s="104"/>
      <c r="EM343" s="104"/>
      <c r="EN343" s="104"/>
      <c r="EO343" s="104"/>
      <c r="EP343" s="104"/>
      <c r="EQ343" s="104"/>
      <c r="ER343" s="104"/>
      <c r="ES343" s="104"/>
      <c r="ET343" s="104"/>
      <c r="EU343" s="104"/>
      <c r="EV343" s="104"/>
      <c r="EW343" s="104"/>
      <c r="EX343" s="104"/>
      <c r="EY343" s="104"/>
      <c r="EZ343" s="104"/>
      <c r="FA343" s="104"/>
      <c r="FB343" s="104"/>
      <c r="FC343" s="104"/>
      <c r="FD343" s="104"/>
      <c r="FE343" s="104"/>
      <c r="FF343" s="104"/>
      <c r="FG343" s="104"/>
      <c r="FH343" s="104"/>
      <c r="FI343" s="104"/>
      <c r="FJ343" s="104"/>
      <c r="FK343" s="104"/>
      <c r="FL343" s="104"/>
      <c r="FM343" s="104"/>
      <c r="FN343" s="104"/>
      <c r="FO343" s="104"/>
      <c r="FP343" s="104"/>
      <c r="FQ343" s="104"/>
      <c r="FR343" s="104"/>
      <c r="FS343" s="104"/>
      <c r="FT343" s="104"/>
      <c r="FU343" s="104"/>
      <c r="FV343" s="104"/>
      <c r="FW343" s="104"/>
      <c r="FX343" s="104"/>
      <c r="FY343" s="104"/>
      <c r="FZ343" s="104"/>
      <c r="GA343" s="104"/>
      <c r="GB343" s="104"/>
      <c r="GC343" s="104"/>
      <c r="GD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  <c r="HA343" s="104"/>
      <c r="HB343" s="104"/>
      <c r="HC343" s="104"/>
      <c r="HD343" s="104"/>
      <c r="HE343" s="104"/>
      <c r="HF343" s="104"/>
      <c r="HG343" s="104"/>
      <c r="HH343" s="104"/>
      <c r="HI343" s="104"/>
      <c r="HJ343" s="104"/>
      <c r="HK343" s="104"/>
      <c r="HL343" s="104"/>
      <c r="HM343" s="104"/>
      <c r="HN343" s="104"/>
      <c r="HO343" s="104"/>
      <c r="HP343" s="104"/>
      <c r="HQ343" s="104"/>
      <c r="HR343" s="104"/>
      <c r="HS343" s="104"/>
      <c r="HT343" s="104"/>
      <c r="HU343" s="104"/>
      <c r="HV343" s="104"/>
      <c r="HW343" s="104"/>
      <c r="HX343" s="104"/>
      <c r="HY343" s="104"/>
      <c r="HZ343" s="104"/>
      <c r="IA343" s="104"/>
      <c r="IB343" s="104"/>
      <c r="IC343" s="104"/>
      <c r="ID343" s="104"/>
      <c r="IE343" s="104"/>
      <c r="IF343" s="104"/>
      <c r="IG343" s="104"/>
      <c r="IH343" s="104"/>
      <c r="II343" s="104"/>
      <c r="IJ343" s="104"/>
      <c r="IK343" s="104"/>
      <c r="IL343" s="104"/>
      <c r="IM343" s="104"/>
      <c r="IN343" s="104"/>
      <c r="IO343" s="104"/>
      <c r="IP343" s="104"/>
      <c r="IQ343" s="104"/>
      <c r="IR343" s="104"/>
      <c r="IS343" s="104"/>
      <c r="IT343" s="104"/>
      <c r="IU343" s="104"/>
      <c r="IV343" s="104"/>
      <c r="IW343" s="104"/>
      <c r="IX343" s="104"/>
      <c r="IY343" s="104"/>
      <c r="IZ343" s="104"/>
      <c r="JA343" s="104"/>
    </row>
    <row r="344" spans="2:261" x14ac:dyDescent="0.2">
      <c r="B344" s="104"/>
      <c r="C344" s="104"/>
      <c r="D344" s="104"/>
      <c r="E344" s="104"/>
      <c r="F344" s="104"/>
      <c r="G344" s="104"/>
      <c r="H344" s="104"/>
      <c r="I344" s="104"/>
      <c r="J344" s="151"/>
      <c r="K344" s="104"/>
      <c r="L344" s="104"/>
      <c r="M344" s="104"/>
      <c r="N344" s="151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  <c r="CH344" s="104"/>
      <c r="CI344" s="104"/>
      <c r="CJ344" s="104"/>
      <c r="CK344" s="104"/>
      <c r="CL344" s="104"/>
      <c r="CM344" s="104"/>
      <c r="CN344" s="104"/>
      <c r="CO344" s="104"/>
      <c r="CP344" s="104"/>
      <c r="CQ344" s="104"/>
      <c r="CR344" s="104"/>
      <c r="CS344" s="104"/>
      <c r="CT344" s="104"/>
      <c r="CU344" s="104"/>
      <c r="CV344" s="104"/>
      <c r="CW344" s="104"/>
      <c r="CX344" s="104"/>
      <c r="CY344" s="104"/>
      <c r="CZ344" s="104"/>
      <c r="DA344" s="104"/>
      <c r="DB344" s="104"/>
      <c r="DC344" s="104"/>
      <c r="DD344" s="104"/>
      <c r="DE344" s="104"/>
      <c r="DF344" s="104"/>
      <c r="DG344" s="104"/>
      <c r="DH344" s="104"/>
      <c r="DI344" s="104"/>
      <c r="DJ344" s="104"/>
      <c r="DK344" s="104"/>
      <c r="DL344" s="104"/>
      <c r="DM344" s="104"/>
      <c r="DN344" s="104"/>
      <c r="DO344" s="104"/>
      <c r="DP344" s="104"/>
      <c r="DQ344" s="104"/>
      <c r="DR344" s="104"/>
      <c r="DS344" s="104"/>
      <c r="DT344" s="104"/>
      <c r="DU344" s="104"/>
      <c r="DV344" s="104"/>
      <c r="DW344" s="104"/>
      <c r="DX344" s="104"/>
      <c r="DY344" s="104"/>
      <c r="DZ344" s="104"/>
      <c r="EA344" s="104"/>
      <c r="EB344" s="104"/>
      <c r="EC344" s="104"/>
      <c r="ED344" s="104"/>
      <c r="EE344" s="104"/>
      <c r="EF344" s="104"/>
      <c r="EG344" s="104"/>
      <c r="EH344" s="104"/>
      <c r="EI344" s="104"/>
      <c r="EJ344" s="104"/>
      <c r="EK344" s="104"/>
      <c r="EL344" s="104"/>
      <c r="EM344" s="104"/>
      <c r="EN344" s="104"/>
      <c r="EO344" s="104"/>
      <c r="EP344" s="104"/>
      <c r="EQ344" s="104"/>
      <c r="ER344" s="104"/>
      <c r="ES344" s="104"/>
      <c r="ET344" s="104"/>
      <c r="EU344" s="104"/>
      <c r="EV344" s="104"/>
      <c r="EW344" s="104"/>
      <c r="EX344" s="104"/>
      <c r="EY344" s="104"/>
      <c r="EZ344" s="104"/>
      <c r="FA344" s="104"/>
      <c r="FB344" s="104"/>
      <c r="FC344" s="104"/>
      <c r="FD344" s="104"/>
      <c r="FE344" s="104"/>
      <c r="FF344" s="104"/>
      <c r="FG344" s="104"/>
      <c r="FH344" s="104"/>
      <c r="FI344" s="104"/>
      <c r="FJ344" s="104"/>
      <c r="FK344" s="104"/>
      <c r="FL344" s="104"/>
      <c r="FM344" s="104"/>
      <c r="FN344" s="104"/>
      <c r="FO344" s="104"/>
      <c r="FP344" s="104"/>
      <c r="FQ344" s="104"/>
      <c r="FR344" s="104"/>
      <c r="FS344" s="104"/>
      <c r="FT344" s="104"/>
      <c r="FU344" s="104"/>
      <c r="FV344" s="104"/>
      <c r="FW344" s="104"/>
      <c r="FX344" s="104"/>
      <c r="FY344" s="104"/>
      <c r="FZ344" s="104"/>
      <c r="GA344" s="104"/>
      <c r="GB344" s="104"/>
      <c r="GC344" s="104"/>
      <c r="GD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  <c r="HA344" s="104"/>
      <c r="HB344" s="104"/>
      <c r="HC344" s="104"/>
      <c r="HD344" s="104"/>
      <c r="HE344" s="104"/>
      <c r="HF344" s="104"/>
      <c r="HG344" s="104"/>
      <c r="HH344" s="104"/>
      <c r="HI344" s="104"/>
      <c r="HJ344" s="104"/>
      <c r="HK344" s="104"/>
      <c r="HL344" s="104"/>
      <c r="HM344" s="104"/>
      <c r="HN344" s="104"/>
      <c r="HO344" s="104"/>
      <c r="HP344" s="104"/>
      <c r="HQ344" s="104"/>
      <c r="HR344" s="104"/>
      <c r="HS344" s="104"/>
      <c r="HT344" s="104"/>
      <c r="HU344" s="104"/>
      <c r="HV344" s="104"/>
      <c r="HW344" s="104"/>
      <c r="HX344" s="104"/>
      <c r="HY344" s="104"/>
      <c r="HZ344" s="104"/>
      <c r="IA344" s="104"/>
      <c r="IB344" s="104"/>
      <c r="IC344" s="104"/>
      <c r="ID344" s="104"/>
      <c r="IE344" s="104"/>
      <c r="IF344" s="104"/>
      <c r="IG344" s="104"/>
      <c r="IH344" s="104"/>
      <c r="II344" s="104"/>
      <c r="IJ344" s="104"/>
      <c r="IK344" s="104"/>
      <c r="IL344" s="104"/>
      <c r="IM344" s="104"/>
      <c r="IN344" s="104"/>
      <c r="IO344" s="104"/>
      <c r="IP344" s="104"/>
      <c r="IQ344" s="104"/>
      <c r="IR344" s="104"/>
      <c r="IS344" s="104"/>
      <c r="IT344" s="104"/>
      <c r="IU344" s="104"/>
      <c r="IV344" s="104"/>
      <c r="IW344" s="104"/>
      <c r="IX344" s="104"/>
      <c r="IY344" s="104"/>
      <c r="IZ344" s="104"/>
      <c r="JA344" s="104"/>
    </row>
    <row r="345" spans="2:261" x14ac:dyDescent="0.2">
      <c r="B345" s="104"/>
      <c r="C345" s="104"/>
      <c r="D345" s="104"/>
      <c r="E345" s="104"/>
      <c r="F345" s="104"/>
      <c r="G345" s="104"/>
      <c r="H345" s="104"/>
      <c r="I345" s="104"/>
      <c r="J345" s="151"/>
      <c r="K345" s="104"/>
      <c r="L345" s="104"/>
      <c r="M345" s="104"/>
      <c r="N345" s="151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  <c r="CH345" s="104"/>
      <c r="CI345" s="104"/>
      <c r="CJ345" s="104"/>
      <c r="CK345" s="104"/>
      <c r="CL345" s="104"/>
      <c r="CM345" s="104"/>
      <c r="CN345" s="104"/>
      <c r="CO345" s="104"/>
      <c r="CP345" s="104"/>
      <c r="CQ345" s="104"/>
      <c r="CR345" s="104"/>
      <c r="CS345" s="104"/>
      <c r="CT345" s="104"/>
      <c r="CU345" s="104"/>
      <c r="CV345" s="104"/>
      <c r="CW345" s="104"/>
      <c r="CX345" s="104"/>
      <c r="CY345" s="104"/>
      <c r="CZ345" s="104"/>
      <c r="DA345" s="104"/>
      <c r="DB345" s="104"/>
      <c r="DC345" s="104"/>
      <c r="DD345" s="104"/>
      <c r="DE345" s="104"/>
      <c r="DF345" s="104"/>
      <c r="DG345" s="104"/>
      <c r="DH345" s="104"/>
      <c r="DI345" s="104"/>
      <c r="DJ345" s="104"/>
      <c r="DK345" s="104"/>
      <c r="DL345" s="104"/>
      <c r="DM345" s="104"/>
      <c r="DN345" s="104"/>
      <c r="DO345" s="104"/>
      <c r="DP345" s="104"/>
      <c r="DQ345" s="104"/>
      <c r="DR345" s="104"/>
      <c r="DS345" s="104"/>
      <c r="DT345" s="104"/>
      <c r="DU345" s="104"/>
      <c r="DV345" s="104"/>
      <c r="DW345" s="104"/>
      <c r="DX345" s="104"/>
      <c r="DY345" s="104"/>
      <c r="DZ345" s="104"/>
      <c r="EA345" s="104"/>
      <c r="EB345" s="104"/>
      <c r="EC345" s="104"/>
      <c r="ED345" s="104"/>
      <c r="EE345" s="104"/>
      <c r="EF345" s="104"/>
      <c r="EG345" s="104"/>
      <c r="EH345" s="104"/>
      <c r="EI345" s="104"/>
      <c r="EJ345" s="104"/>
      <c r="EK345" s="104"/>
      <c r="EL345" s="104"/>
      <c r="EM345" s="104"/>
      <c r="EN345" s="104"/>
      <c r="EO345" s="104"/>
      <c r="EP345" s="104"/>
      <c r="EQ345" s="104"/>
      <c r="ER345" s="104"/>
      <c r="ES345" s="104"/>
      <c r="ET345" s="104"/>
      <c r="EU345" s="104"/>
      <c r="EV345" s="104"/>
      <c r="EW345" s="104"/>
      <c r="EX345" s="104"/>
      <c r="EY345" s="104"/>
      <c r="EZ345" s="104"/>
      <c r="FA345" s="104"/>
      <c r="FB345" s="104"/>
      <c r="FC345" s="104"/>
      <c r="FD345" s="104"/>
      <c r="FE345" s="104"/>
      <c r="FF345" s="104"/>
      <c r="FG345" s="104"/>
      <c r="FH345" s="104"/>
      <c r="FI345" s="104"/>
      <c r="FJ345" s="104"/>
      <c r="FK345" s="104"/>
      <c r="FL345" s="104"/>
      <c r="FM345" s="104"/>
      <c r="FN345" s="104"/>
      <c r="FO345" s="104"/>
      <c r="FP345" s="104"/>
      <c r="FQ345" s="104"/>
      <c r="FR345" s="104"/>
      <c r="FS345" s="104"/>
      <c r="FT345" s="104"/>
      <c r="FU345" s="104"/>
      <c r="FV345" s="104"/>
      <c r="FW345" s="104"/>
      <c r="FX345" s="104"/>
      <c r="FY345" s="104"/>
      <c r="FZ345" s="104"/>
      <c r="GA345" s="104"/>
      <c r="GB345" s="104"/>
      <c r="GC345" s="104"/>
      <c r="GD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  <c r="HA345" s="104"/>
      <c r="HB345" s="104"/>
      <c r="HC345" s="104"/>
      <c r="HD345" s="104"/>
      <c r="HE345" s="104"/>
      <c r="HF345" s="104"/>
      <c r="HG345" s="104"/>
      <c r="HH345" s="104"/>
      <c r="HI345" s="104"/>
      <c r="HJ345" s="104"/>
      <c r="HK345" s="104"/>
      <c r="HL345" s="104"/>
      <c r="HM345" s="104"/>
      <c r="HN345" s="104"/>
      <c r="HO345" s="104"/>
      <c r="HP345" s="104"/>
      <c r="HQ345" s="104"/>
      <c r="HR345" s="104"/>
      <c r="HS345" s="104"/>
      <c r="HT345" s="104"/>
      <c r="HU345" s="104"/>
      <c r="HV345" s="104"/>
      <c r="HW345" s="104"/>
      <c r="HX345" s="104"/>
      <c r="HY345" s="104"/>
      <c r="HZ345" s="104"/>
      <c r="IA345" s="104"/>
      <c r="IB345" s="104"/>
      <c r="IC345" s="104"/>
      <c r="ID345" s="104"/>
      <c r="IE345" s="104"/>
      <c r="IF345" s="104"/>
      <c r="IG345" s="104"/>
      <c r="IH345" s="104"/>
      <c r="II345" s="104"/>
      <c r="IJ345" s="104"/>
      <c r="IK345" s="104"/>
      <c r="IL345" s="104"/>
      <c r="IM345" s="104"/>
      <c r="IN345" s="104"/>
      <c r="IO345" s="104"/>
      <c r="IP345" s="104"/>
      <c r="IQ345" s="104"/>
      <c r="IR345" s="104"/>
      <c r="IS345" s="104"/>
      <c r="IT345" s="104"/>
      <c r="IU345" s="104"/>
      <c r="IV345" s="104"/>
      <c r="IW345" s="104"/>
      <c r="IX345" s="104"/>
      <c r="IY345" s="104"/>
      <c r="IZ345" s="104"/>
      <c r="JA345" s="104"/>
    </row>
    <row r="346" spans="2:261" x14ac:dyDescent="0.2">
      <c r="B346" s="104"/>
      <c r="C346" s="104"/>
      <c r="D346" s="104"/>
      <c r="E346" s="104"/>
      <c r="F346" s="104"/>
      <c r="G346" s="104"/>
      <c r="H346" s="104"/>
      <c r="I346" s="104"/>
      <c r="J346" s="151"/>
      <c r="K346" s="104"/>
      <c r="L346" s="104"/>
      <c r="M346" s="104"/>
      <c r="N346" s="151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  <c r="CH346" s="104"/>
      <c r="CI346" s="104"/>
      <c r="CJ346" s="104"/>
      <c r="CK346" s="104"/>
      <c r="CL346" s="104"/>
      <c r="CM346" s="104"/>
      <c r="CN346" s="104"/>
      <c r="CO346" s="104"/>
      <c r="CP346" s="104"/>
      <c r="CQ346" s="104"/>
      <c r="CR346" s="104"/>
      <c r="CS346" s="104"/>
      <c r="CT346" s="104"/>
      <c r="CU346" s="104"/>
      <c r="CV346" s="104"/>
      <c r="CW346" s="104"/>
      <c r="CX346" s="104"/>
      <c r="CY346" s="104"/>
      <c r="CZ346" s="104"/>
      <c r="DA346" s="104"/>
      <c r="DB346" s="104"/>
      <c r="DC346" s="104"/>
      <c r="DD346" s="104"/>
      <c r="DE346" s="104"/>
      <c r="DF346" s="104"/>
      <c r="DG346" s="104"/>
      <c r="DH346" s="104"/>
      <c r="DI346" s="104"/>
      <c r="DJ346" s="104"/>
      <c r="DK346" s="104"/>
      <c r="DL346" s="104"/>
      <c r="DM346" s="104"/>
      <c r="DN346" s="104"/>
      <c r="DO346" s="104"/>
      <c r="DP346" s="104"/>
      <c r="DQ346" s="104"/>
      <c r="DR346" s="104"/>
      <c r="DS346" s="104"/>
      <c r="DT346" s="104"/>
      <c r="DU346" s="104"/>
      <c r="DV346" s="104"/>
      <c r="DW346" s="104"/>
      <c r="DX346" s="104"/>
      <c r="DY346" s="104"/>
      <c r="DZ346" s="104"/>
      <c r="EA346" s="104"/>
      <c r="EB346" s="104"/>
      <c r="EC346" s="104"/>
      <c r="ED346" s="104"/>
      <c r="EE346" s="104"/>
      <c r="EF346" s="104"/>
      <c r="EG346" s="104"/>
      <c r="EH346" s="104"/>
      <c r="EI346" s="104"/>
      <c r="EJ346" s="104"/>
      <c r="EK346" s="104"/>
      <c r="EL346" s="104"/>
      <c r="EM346" s="104"/>
      <c r="EN346" s="104"/>
      <c r="EO346" s="104"/>
      <c r="EP346" s="104"/>
      <c r="EQ346" s="104"/>
      <c r="ER346" s="104"/>
      <c r="ES346" s="104"/>
      <c r="ET346" s="104"/>
      <c r="EU346" s="104"/>
      <c r="EV346" s="104"/>
      <c r="EW346" s="104"/>
      <c r="EX346" s="104"/>
      <c r="EY346" s="104"/>
      <c r="EZ346" s="104"/>
      <c r="FA346" s="104"/>
      <c r="FB346" s="104"/>
      <c r="FC346" s="104"/>
      <c r="FD346" s="104"/>
      <c r="FE346" s="104"/>
      <c r="FF346" s="104"/>
      <c r="FG346" s="104"/>
      <c r="FH346" s="104"/>
      <c r="FI346" s="104"/>
      <c r="FJ346" s="104"/>
      <c r="FK346" s="104"/>
      <c r="FL346" s="104"/>
      <c r="FM346" s="104"/>
      <c r="FN346" s="104"/>
      <c r="FO346" s="104"/>
      <c r="FP346" s="104"/>
      <c r="FQ346" s="104"/>
      <c r="FR346" s="104"/>
      <c r="FS346" s="104"/>
      <c r="FT346" s="104"/>
      <c r="FU346" s="104"/>
      <c r="FV346" s="104"/>
      <c r="FW346" s="104"/>
      <c r="FX346" s="104"/>
      <c r="FY346" s="104"/>
      <c r="FZ346" s="104"/>
      <c r="GA346" s="104"/>
      <c r="GB346" s="104"/>
      <c r="GC346" s="104"/>
      <c r="GD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  <c r="HA346" s="104"/>
      <c r="HB346" s="104"/>
      <c r="HC346" s="104"/>
      <c r="HD346" s="104"/>
      <c r="HE346" s="104"/>
      <c r="HF346" s="104"/>
      <c r="HG346" s="104"/>
      <c r="HH346" s="104"/>
      <c r="HI346" s="104"/>
      <c r="HJ346" s="104"/>
      <c r="HK346" s="104"/>
      <c r="HL346" s="104"/>
      <c r="HM346" s="104"/>
      <c r="HN346" s="104"/>
      <c r="HO346" s="104"/>
      <c r="HP346" s="104"/>
      <c r="HQ346" s="104"/>
      <c r="HR346" s="104"/>
      <c r="HS346" s="104"/>
      <c r="HT346" s="104"/>
      <c r="HU346" s="104"/>
      <c r="HV346" s="104"/>
      <c r="HW346" s="104"/>
      <c r="HX346" s="104"/>
      <c r="HY346" s="104"/>
      <c r="HZ346" s="104"/>
      <c r="IA346" s="104"/>
      <c r="IB346" s="104"/>
      <c r="IC346" s="104"/>
      <c r="ID346" s="104"/>
      <c r="IE346" s="104"/>
      <c r="IF346" s="104"/>
      <c r="IG346" s="104"/>
      <c r="IH346" s="104"/>
      <c r="II346" s="104"/>
      <c r="IJ346" s="104"/>
      <c r="IK346" s="104"/>
      <c r="IL346" s="104"/>
      <c r="IM346" s="104"/>
      <c r="IN346" s="104"/>
      <c r="IO346" s="104"/>
      <c r="IP346" s="104"/>
      <c r="IQ346" s="104"/>
      <c r="IR346" s="104"/>
      <c r="IS346" s="104"/>
      <c r="IT346" s="104"/>
      <c r="IU346" s="104"/>
      <c r="IV346" s="104"/>
      <c r="IW346" s="104"/>
      <c r="IX346" s="104"/>
      <c r="IY346" s="104"/>
      <c r="IZ346" s="104"/>
      <c r="JA346" s="104"/>
    </row>
    <row r="347" spans="2:261" x14ac:dyDescent="0.2">
      <c r="B347" s="104"/>
      <c r="C347" s="104"/>
      <c r="D347" s="104"/>
      <c r="E347" s="104"/>
      <c r="F347" s="104"/>
      <c r="G347" s="104"/>
      <c r="H347" s="104"/>
      <c r="I347" s="104"/>
      <c r="J347" s="151"/>
      <c r="K347" s="104"/>
      <c r="L347" s="104"/>
      <c r="M347" s="104"/>
      <c r="N347" s="151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  <c r="CH347" s="104"/>
      <c r="CI347" s="104"/>
      <c r="CJ347" s="104"/>
      <c r="CK347" s="104"/>
      <c r="CL347" s="104"/>
      <c r="CM347" s="104"/>
      <c r="CN347" s="104"/>
      <c r="CO347" s="104"/>
      <c r="CP347" s="104"/>
      <c r="CQ347" s="104"/>
      <c r="CR347" s="104"/>
      <c r="CS347" s="104"/>
      <c r="CT347" s="104"/>
      <c r="CU347" s="104"/>
      <c r="CV347" s="104"/>
      <c r="CW347" s="104"/>
      <c r="CX347" s="104"/>
      <c r="CY347" s="104"/>
      <c r="CZ347" s="104"/>
      <c r="DA347" s="104"/>
      <c r="DB347" s="104"/>
      <c r="DC347" s="104"/>
      <c r="DD347" s="104"/>
      <c r="DE347" s="104"/>
      <c r="DF347" s="104"/>
      <c r="DG347" s="104"/>
      <c r="DH347" s="104"/>
      <c r="DI347" s="104"/>
      <c r="DJ347" s="104"/>
      <c r="DK347" s="104"/>
      <c r="DL347" s="104"/>
      <c r="DM347" s="104"/>
      <c r="DN347" s="104"/>
      <c r="DO347" s="104"/>
      <c r="DP347" s="104"/>
      <c r="DQ347" s="104"/>
      <c r="DR347" s="104"/>
      <c r="DS347" s="104"/>
      <c r="DT347" s="104"/>
      <c r="DU347" s="104"/>
      <c r="DV347" s="104"/>
      <c r="DW347" s="104"/>
      <c r="DX347" s="104"/>
      <c r="DY347" s="104"/>
      <c r="DZ347" s="104"/>
      <c r="EA347" s="104"/>
      <c r="EB347" s="104"/>
      <c r="EC347" s="104"/>
      <c r="ED347" s="104"/>
      <c r="EE347" s="104"/>
      <c r="EF347" s="104"/>
      <c r="EG347" s="104"/>
      <c r="EH347" s="104"/>
      <c r="EI347" s="104"/>
      <c r="EJ347" s="104"/>
      <c r="EK347" s="104"/>
      <c r="EL347" s="104"/>
      <c r="EM347" s="104"/>
      <c r="EN347" s="104"/>
      <c r="EO347" s="104"/>
      <c r="EP347" s="104"/>
      <c r="EQ347" s="104"/>
      <c r="ER347" s="104"/>
      <c r="ES347" s="104"/>
      <c r="ET347" s="104"/>
      <c r="EU347" s="104"/>
      <c r="EV347" s="104"/>
      <c r="EW347" s="104"/>
      <c r="EX347" s="104"/>
      <c r="EY347" s="104"/>
      <c r="EZ347" s="104"/>
      <c r="FA347" s="104"/>
      <c r="FB347" s="104"/>
      <c r="FC347" s="104"/>
      <c r="FD347" s="104"/>
      <c r="FE347" s="104"/>
      <c r="FF347" s="104"/>
      <c r="FG347" s="104"/>
      <c r="FH347" s="104"/>
      <c r="FI347" s="104"/>
      <c r="FJ347" s="104"/>
      <c r="FK347" s="104"/>
      <c r="FL347" s="104"/>
      <c r="FM347" s="104"/>
      <c r="FN347" s="104"/>
      <c r="FO347" s="104"/>
      <c r="FP347" s="104"/>
      <c r="FQ347" s="104"/>
      <c r="FR347" s="104"/>
      <c r="FS347" s="104"/>
      <c r="FT347" s="104"/>
      <c r="FU347" s="104"/>
      <c r="FV347" s="104"/>
      <c r="FW347" s="104"/>
      <c r="FX347" s="104"/>
      <c r="FY347" s="104"/>
      <c r="FZ347" s="104"/>
      <c r="GA347" s="104"/>
      <c r="GB347" s="104"/>
      <c r="GC347" s="104"/>
      <c r="GD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  <c r="HA347" s="104"/>
      <c r="HB347" s="104"/>
      <c r="HC347" s="104"/>
      <c r="HD347" s="104"/>
      <c r="HE347" s="104"/>
      <c r="HF347" s="104"/>
      <c r="HG347" s="104"/>
      <c r="HH347" s="104"/>
      <c r="HI347" s="104"/>
      <c r="HJ347" s="104"/>
      <c r="HK347" s="104"/>
      <c r="HL347" s="104"/>
      <c r="HM347" s="104"/>
      <c r="HN347" s="104"/>
      <c r="HO347" s="104"/>
      <c r="HP347" s="104"/>
      <c r="HQ347" s="104"/>
      <c r="HR347" s="104"/>
      <c r="HS347" s="104"/>
      <c r="HT347" s="104"/>
      <c r="HU347" s="104"/>
      <c r="HV347" s="104"/>
      <c r="HW347" s="104"/>
      <c r="HX347" s="104"/>
      <c r="HY347" s="104"/>
      <c r="HZ347" s="104"/>
      <c r="IA347" s="104"/>
      <c r="IB347" s="104"/>
      <c r="IC347" s="104"/>
      <c r="ID347" s="104"/>
      <c r="IE347" s="104"/>
      <c r="IF347" s="104"/>
      <c r="IG347" s="104"/>
      <c r="IH347" s="104"/>
      <c r="II347" s="104"/>
      <c r="IJ347" s="104"/>
      <c r="IK347" s="104"/>
      <c r="IL347" s="104"/>
      <c r="IM347" s="104"/>
      <c r="IN347" s="104"/>
      <c r="IO347" s="104"/>
      <c r="IP347" s="104"/>
      <c r="IQ347" s="104"/>
      <c r="IR347" s="104"/>
      <c r="IS347" s="104"/>
      <c r="IT347" s="104"/>
      <c r="IU347" s="104"/>
      <c r="IV347" s="104"/>
      <c r="IW347" s="104"/>
      <c r="IX347" s="104"/>
      <c r="IY347" s="104"/>
      <c r="IZ347" s="104"/>
      <c r="JA347" s="104"/>
    </row>
    <row r="348" spans="2:261" x14ac:dyDescent="0.2">
      <c r="B348" s="104"/>
      <c r="C348" s="104"/>
      <c r="D348" s="104"/>
      <c r="E348" s="104"/>
      <c r="F348" s="104"/>
      <c r="G348" s="104"/>
      <c r="H348" s="104"/>
      <c r="I348" s="104"/>
      <c r="J348" s="151"/>
      <c r="K348" s="104"/>
      <c r="L348" s="104"/>
      <c r="M348" s="104"/>
      <c r="N348" s="151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  <c r="CH348" s="104"/>
      <c r="CI348" s="104"/>
      <c r="CJ348" s="104"/>
      <c r="CK348" s="104"/>
      <c r="CL348" s="104"/>
      <c r="CM348" s="104"/>
      <c r="CN348" s="104"/>
      <c r="CO348" s="104"/>
      <c r="CP348" s="104"/>
      <c r="CQ348" s="104"/>
      <c r="CR348" s="104"/>
      <c r="CS348" s="104"/>
      <c r="CT348" s="104"/>
      <c r="CU348" s="104"/>
      <c r="CV348" s="104"/>
      <c r="CW348" s="104"/>
      <c r="CX348" s="104"/>
      <c r="CY348" s="104"/>
      <c r="CZ348" s="104"/>
      <c r="DA348" s="104"/>
      <c r="DB348" s="104"/>
      <c r="DC348" s="104"/>
      <c r="DD348" s="104"/>
      <c r="DE348" s="104"/>
      <c r="DF348" s="104"/>
      <c r="DG348" s="104"/>
      <c r="DH348" s="104"/>
      <c r="DI348" s="104"/>
      <c r="DJ348" s="104"/>
      <c r="DK348" s="104"/>
      <c r="DL348" s="104"/>
      <c r="DM348" s="104"/>
      <c r="DN348" s="104"/>
      <c r="DO348" s="104"/>
      <c r="DP348" s="104"/>
      <c r="DQ348" s="104"/>
      <c r="DR348" s="104"/>
      <c r="DS348" s="104"/>
      <c r="DT348" s="104"/>
      <c r="DU348" s="104"/>
      <c r="DV348" s="104"/>
      <c r="DW348" s="104"/>
      <c r="DX348" s="104"/>
      <c r="DY348" s="104"/>
      <c r="DZ348" s="104"/>
      <c r="EA348" s="104"/>
      <c r="EB348" s="104"/>
      <c r="EC348" s="104"/>
      <c r="ED348" s="104"/>
      <c r="EE348" s="104"/>
      <c r="EF348" s="104"/>
      <c r="EG348" s="104"/>
      <c r="EH348" s="104"/>
      <c r="EI348" s="104"/>
      <c r="EJ348" s="104"/>
      <c r="EK348" s="104"/>
      <c r="EL348" s="104"/>
      <c r="EM348" s="104"/>
      <c r="EN348" s="104"/>
      <c r="EO348" s="104"/>
      <c r="EP348" s="104"/>
      <c r="EQ348" s="104"/>
      <c r="ER348" s="104"/>
      <c r="ES348" s="104"/>
      <c r="ET348" s="104"/>
      <c r="EU348" s="104"/>
      <c r="EV348" s="104"/>
      <c r="EW348" s="104"/>
      <c r="EX348" s="104"/>
      <c r="EY348" s="104"/>
      <c r="EZ348" s="104"/>
      <c r="FA348" s="104"/>
      <c r="FB348" s="104"/>
      <c r="FC348" s="104"/>
      <c r="FD348" s="104"/>
      <c r="FE348" s="104"/>
      <c r="FF348" s="104"/>
      <c r="FG348" s="104"/>
      <c r="FH348" s="104"/>
      <c r="FI348" s="104"/>
      <c r="FJ348" s="104"/>
      <c r="FK348" s="104"/>
      <c r="FL348" s="104"/>
      <c r="FM348" s="104"/>
      <c r="FN348" s="104"/>
      <c r="FO348" s="104"/>
      <c r="FP348" s="104"/>
      <c r="FQ348" s="104"/>
      <c r="FR348" s="104"/>
      <c r="FS348" s="104"/>
      <c r="FT348" s="104"/>
      <c r="FU348" s="104"/>
      <c r="FV348" s="104"/>
      <c r="FW348" s="104"/>
      <c r="FX348" s="104"/>
      <c r="FY348" s="104"/>
      <c r="FZ348" s="104"/>
      <c r="GA348" s="104"/>
      <c r="GB348" s="104"/>
      <c r="GC348" s="104"/>
      <c r="GD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  <c r="HA348" s="104"/>
      <c r="HB348" s="104"/>
      <c r="HC348" s="104"/>
      <c r="HD348" s="104"/>
      <c r="HE348" s="104"/>
      <c r="HF348" s="104"/>
      <c r="HG348" s="104"/>
      <c r="HH348" s="104"/>
      <c r="HI348" s="104"/>
      <c r="HJ348" s="104"/>
      <c r="HK348" s="104"/>
      <c r="HL348" s="104"/>
      <c r="HM348" s="104"/>
      <c r="HN348" s="104"/>
      <c r="HO348" s="104"/>
      <c r="HP348" s="104"/>
      <c r="HQ348" s="104"/>
      <c r="HR348" s="104"/>
      <c r="HS348" s="104"/>
      <c r="HT348" s="104"/>
      <c r="HU348" s="104"/>
      <c r="HV348" s="104"/>
      <c r="HW348" s="104"/>
      <c r="HX348" s="104"/>
      <c r="HY348" s="104"/>
      <c r="HZ348" s="104"/>
      <c r="IA348" s="104"/>
      <c r="IB348" s="104"/>
      <c r="IC348" s="104"/>
      <c r="ID348" s="104"/>
      <c r="IE348" s="104"/>
      <c r="IF348" s="104"/>
      <c r="IG348" s="104"/>
      <c r="IH348" s="104"/>
      <c r="II348" s="104"/>
      <c r="IJ348" s="104"/>
      <c r="IK348" s="104"/>
      <c r="IL348" s="104"/>
      <c r="IM348" s="104"/>
      <c r="IN348" s="104"/>
      <c r="IO348" s="104"/>
      <c r="IP348" s="104"/>
      <c r="IQ348" s="104"/>
      <c r="IR348" s="104"/>
      <c r="IS348" s="104"/>
      <c r="IT348" s="104"/>
      <c r="IU348" s="104"/>
      <c r="IV348" s="104"/>
      <c r="IW348" s="104"/>
      <c r="IX348" s="104"/>
      <c r="IY348" s="104"/>
      <c r="IZ348" s="104"/>
      <c r="JA348" s="104"/>
    </row>
    <row r="349" spans="2:261" x14ac:dyDescent="0.2">
      <c r="B349" s="104"/>
      <c r="C349" s="104"/>
      <c r="D349" s="104"/>
      <c r="E349" s="104"/>
      <c r="F349" s="104"/>
      <c r="G349" s="104"/>
      <c r="H349" s="104"/>
      <c r="I349" s="104"/>
      <c r="J349" s="151"/>
      <c r="K349" s="104"/>
      <c r="L349" s="104"/>
      <c r="M349" s="104"/>
      <c r="N349" s="151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  <c r="BK349" s="104"/>
      <c r="BL349" s="104"/>
      <c r="BM349" s="104"/>
      <c r="BN349" s="104"/>
      <c r="BO349" s="104"/>
      <c r="BP349" s="104"/>
      <c r="BQ349" s="104"/>
      <c r="BR349" s="104"/>
      <c r="BS349" s="104"/>
      <c r="BT349" s="104"/>
      <c r="BU349" s="104"/>
      <c r="BV349" s="104"/>
      <c r="BW349" s="104"/>
      <c r="BX349" s="104"/>
      <c r="BY349" s="104"/>
      <c r="BZ349" s="104"/>
      <c r="CA349" s="104"/>
      <c r="CB349" s="104"/>
      <c r="CC349" s="104"/>
      <c r="CD349" s="104"/>
      <c r="CE349" s="104"/>
      <c r="CF349" s="104"/>
      <c r="CG349" s="104"/>
      <c r="CH349" s="104"/>
      <c r="CI349" s="104"/>
      <c r="CJ349" s="104"/>
      <c r="CK349" s="104"/>
      <c r="CL349" s="104"/>
      <c r="CM349" s="104"/>
      <c r="CN349" s="104"/>
      <c r="CO349" s="104"/>
      <c r="CP349" s="104"/>
      <c r="CQ349" s="104"/>
      <c r="CR349" s="104"/>
      <c r="CS349" s="104"/>
      <c r="CT349" s="104"/>
      <c r="CU349" s="104"/>
      <c r="CV349" s="104"/>
      <c r="CW349" s="104"/>
      <c r="CX349" s="104"/>
      <c r="CY349" s="104"/>
      <c r="CZ349" s="104"/>
      <c r="DA349" s="104"/>
      <c r="DB349" s="104"/>
      <c r="DC349" s="104"/>
      <c r="DD349" s="104"/>
      <c r="DE349" s="104"/>
      <c r="DF349" s="104"/>
      <c r="DG349" s="104"/>
      <c r="DH349" s="104"/>
      <c r="DI349" s="104"/>
      <c r="DJ349" s="104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104"/>
      <c r="DV349" s="104"/>
      <c r="DW349" s="104"/>
      <c r="DX349" s="104"/>
      <c r="DY349" s="104"/>
      <c r="DZ349" s="104"/>
      <c r="EA349" s="104"/>
      <c r="EB349" s="104"/>
      <c r="EC349" s="104"/>
      <c r="ED349" s="104"/>
      <c r="EE349" s="104"/>
      <c r="EF349" s="104"/>
      <c r="EG349" s="104"/>
      <c r="EH349" s="104"/>
      <c r="EI349" s="104"/>
      <c r="EJ349" s="104"/>
      <c r="EK349" s="104"/>
      <c r="EL349" s="104"/>
      <c r="EM349" s="104"/>
      <c r="EN349" s="104"/>
      <c r="EO349" s="104"/>
      <c r="EP349" s="104"/>
      <c r="EQ349" s="104"/>
      <c r="ER349" s="104"/>
      <c r="ES349" s="104"/>
      <c r="ET349" s="104"/>
      <c r="EU349" s="104"/>
      <c r="EV349" s="104"/>
      <c r="EW349" s="104"/>
      <c r="EX349" s="104"/>
      <c r="EY349" s="104"/>
      <c r="EZ349" s="104"/>
      <c r="FA349" s="104"/>
      <c r="FB349" s="104"/>
      <c r="FC349" s="104"/>
      <c r="FD349" s="104"/>
      <c r="FE349" s="104"/>
      <c r="FF349" s="104"/>
      <c r="FG349" s="104"/>
      <c r="FH349" s="104"/>
      <c r="FI349" s="104"/>
      <c r="FJ349" s="104"/>
      <c r="FK349" s="104"/>
      <c r="FL349" s="104"/>
      <c r="FM349" s="104"/>
      <c r="FN349" s="104"/>
      <c r="FO349" s="104"/>
      <c r="FP349" s="104"/>
      <c r="FQ349" s="104"/>
      <c r="FR349" s="104"/>
      <c r="FS349" s="104"/>
      <c r="FT349" s="104"/>
      <c r="FU349" s="104"/>
      <c r="FV349" s="104"/>
      <c r="FW349" s="104"/>
      <c r="FX349" s="104"/>
      <c r="FY349" s="104"/>
      <c r="FZ349" s="104"/>
      <c r="GA349" s="104"/>
      <c r="GB349" s="104"/>
      <c r="GC349" s="104"/>
      <c r="GD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  <c r="HA349" s="104"/>
      <c r="HB349" s="104"/>
      <c r="HC349" s="104"/>
      <c r="HD349" s="104"/>
      <c r="HE349" s="104"/>
      <c r="HF349" s="104"/>
      <c r="HG349" s="104"/>
      <c r="HH349" s="104"/>
      <c r="HI349" s="104"/>
      <c r="HJ349" s="104"/>
      <c r="HK349" s="104"/>
      <c r="HL349" s="104"/>
      <c r="HM349" s="104"/>
      <c r="HN349" s="104"/>
      <c r="HO349" s="104"/>
      <c r="HP349" s="104"/>
      <c r="HQ349" s="104"/>
      <c r="HR349" s="104"/>
      <c r="HS349" s="104"/>
      <c r="HT349" s="104"/>
      <c r="HU349" s="104"/>
      <c r="HV349" s="104"/>
      <c r="HW349" s="104"/>
      <c r="HX349" s="104"/>
      <c r="HY349" s="104"/>
      <c r="HZ349" s="104"/>
      <c r="IA349" s="104"/>
      <c r="IB349" s="104"/>
      <c r="IC349" s="104"/>
      <c r="ID349" s="104"/>
      <c r="IE349" s="104"/>
      <c r="IF349" s="104"/>
      <c r="IG349" s="104"/>
      <c r="IH349" s="104"/>
      <c r="II349" s="104"/>
      <c r="IJ349" s="104"/>
      <c r="IK349" s="104"/>
      <c r="IL349" s="104"/>
      <c r="IM349" s="104"/>
      <c r="IN349" s="104"/>
      <c r="IO349" s="104"/>
      <c r="IP349" s="104"/>
      <c r="IQ349" s="104"/>
      <c r="IR349" s="104"/>
      <c r="IS349" s="104"/>
      <c r="IT349" s="104"/>
      <c r="IU349" s="104"/>
      <c r="IV349" s="104"/>
      <c r="IW349" s="104"/>
      <c r="IX349" s="104"/>
      <c r="IY349" s="104"/>
      <c r="IZ349" s="104"/>
      <c r="JA349" s="104"/>
    </row>
    <row r="350" spans="2:261" x14ac:dyDescent="0.2">
      <c r="B350" s="104"/>
      <c r="C350" s="104"/>
      <c r="D350" s="104"/>
      <c r="E350" s="104"/>
      <c r="F350" s="104"/>
      <c r="G350" s="104"/>
      <c r="H350" s="104"/>
      <c r="I350" s="104"/>
      <c r="J350" s="151"/>
      <c r="K350" s="104"/>
      <c r="L350" s="104"/>
      <c r="M350" s="104"/>
      <c r="N350" s="151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  <c r="BF350" s="104"/>
      <c r="BG350" s="104"/>
      <c r="BH350" s="104"/>
      <c r="BI350" s="104"/>
      <c r="BJ350" s="104"/>
      <c r="BK350" s="104"/>
      <c r="BL350" s="104"/>
      <c r="BM350" s="104"/>
      <c r="BN350" s="104"/>
      <c r="BO350" s="104"/>
      <c r="BP350" s="104"/>
      <c r="BQ350" s="104"/>
      <c r="BR350" s="104"/>
      <c r="BS350" s="104"/>
      <c r="BT350" s="104"/>
      <c r="BU350" s="104"/>
      <c r="BV350" s="104"/>
      <c r="BW350" s="104"/>
      <c r="BX350" s="104"/>
      <c r="BY350" s="104"/>
      <c r="BZ350" s="104"/>
      <c r="CA350" s="104"/>
      <c r="CB350" s="104"/>
      <c r="CC350" s="104"/>
      <c r="CD350" s="104"/>
      <c r="CE350" s="104"/>
      <c r="CF350" s="104"/>
      <c r="CG350" s="104"/>
      <c r="CH350" s="104"/>
      <c r="CI350" s="104"/>
      <c r="CJ350" s="104"/>
      <c r="CK350" s="104"/>
      <c r="CL350" s="104"/>
      <c r="CM350" s="104"/>
      <c r="CN350" s="104"/>
      <c r="CO350" s="104"/>
      <c r="CP350" s="104"/>
      <c r="CQ350" s="104"/>
      <c r="CR350" s="104"/>
      <c r="CS350" s="104"/>
      <c r="CT350" s="104"/>
      <c r="CU350" s="104"/>
      <c r="CV350" s="104"/>
      <c r="CW350" s="104"/>
      <c r="CX350" s="104"/>
      <c r="CY350" s="104"/>
      <c r="CZ350" s="104"/>
      <c r="DA350" s="104"/>
      <c r="DB350" s="104"/>
      <c r="DC350" s="104"/>
      <c r="DD350" s="104"/>
      <c r="DE350" s="104"/>
      <c r="DF350" s="104"/>
      <c r="DG350" s="104"/>
      <c r="DH350" s="104"/>
      <c r="DI350" s="104"/>
      <c r="DJ350" s="104"/>
      <c r="DK350" s="104"/>
      <c r="DL350" s="104"/>
      <c r="DM350" s="104"/>
      <c r="DN350" s="104"/>
      <c r="DO350" s="104"/>
      <c r="DP350" s="104"/>
      <c r="DQ350" s="104"/>
      <c r="DR350" s="104"/>
      <c r="DS350" s="104"/>
      <c r="DT350" s="104"/>
      <c r="DU350" s="104"/>
      <c r="DV350" s="104"/>
      <c r="DW350" s="104"/>
      <c r="DX350" s="104"/>
      <c r="DY350" s="104"/>
      <c r="DZ350" s="104"/>
      <c r="EA350" s="104"/>
      <c r="EB350" s="104"/>
      <c r="EC350" s="104"/>
      <c r="ED350" s="104"/>
      <c r="EE350" s="104"/>
      <c r="EF350" s="104"/>
      <c r="EG350" s="104"/>
      <c r="EH350" s="104"/>
      <c r="EI350" s="104"/>
      <c r="EJ350" s="104"/>
      <c r="EK350" s="104"/>
      <c r="EL350" s="104"/>
      <c r="EM350" s="104"/>
      <c r="EN350" s="104"/>
      <c r="EO350" s="104"/>
      <c r="EP350" s="104"/>
      <c r="EQ350" s="104"/>
      <c r="ER350" s="104"/>
      <c r="ES350" s="104"/>
      <c r="ET350" s="104"/>
      <c r="EU350" s="104"/>
      <c r="EV350" s="104"/>
      <c r="EW350" s="104"/>
      <c r="EX350" s="104"/>
      <c r="EY350" s="104"/>
      <c r="EZ350" s="104"/>
      <c r="FA350" s="104"/>
      <c r="FB350" s="104"/>
      <c r="FC350" s="104"/>
      <c r="FD350" s="104"/>
      <c r="FE350" s="104"/>
      <c r="FF350" s="104"/>
      <c r="FG350" s="104"/>
      <c r="FH350" s="104"/>
      <c r="FI350" s="104"/>
      <c r="FJ350" s="104"/>
      <c r="FK350" s="104"/>
      <c r="FL350" s="104"/>
      <c r="FM350" s="104"/>
      <c r="FN350" s="104"/>
      <c r="FO350" s="104"/>
      <c r="FP350" s="104"/>
      <c r="FQ350" s="104"/>
      <c r="FR350" s="104"/>
      <c r="FS350" s="104"/>
      <c r="FT350" s="104"/>
      <c r="FU350" s="104"/>
      <c r="FV350" s="104"/>
      <c r="FW350" s="104"/>
      <c r="FX350" s="104"/>
      <c r="FY350" s="104"/>
      <c r="FZ350" s="104"/>
      <c r="GA350" s="104"/>
      <c r="GB350" s="104"/>
      <c r="GC350" s="104"/>
      <c r="GD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  <c r="HA350" s="104"/>
      <c r="HB350" s="104"/>
      <c r="HC350" s="104"/>
      <c r="HD350" s="104"/>
      <c r="HE350" s="104"/>
      <c r="HF350" s="104"/>
      <c r="HG350" s="104"/>
      <c r="HH350" s="104"/>
      <c r="HI350" s="104"/>
      <c r="HJ350" s="104"/>
      <c r="HK350" s="104"/>
      <c r="HL350" s="104"/>
      <c r="HM350" s="104"/>
      <c r="HN350" s="104"/>
      <c r="HO350" s="104"/>
      <c r="HP350" s="104"/>
      <c r="HQ350" s="104"/>
      <c r="HR350" s="104"/>
      <c r="HS350" s="104"/>
      <c r="HT350" s="104"/>
      <c r="HU350" s="104"/>
      <c r="HV350" s="104"/>
      <c r="HW350" s="104"/>
      <c r="HX350" s="104"/>
      <c r="HY350" s="104"/>
      <c r="HZ350" s="104"/>
      <c r="IA350" s="104"/>
      <c r="IB350" s="104"/>
      <c r="IC350" s="104"/>
      <c r="ID350" s="104"/>
      <c r="IE350" s="104"/>
      <c r="IF350" s="104"/>
      <c r="IG350" s="104"/>
      <c r="IH350" s="104"/>
      <c r="II350" s="104"/>
      <c r="IJ350" s="104"/>
      <c r="IK350" s="104"/>
      <c r="IL350" s="104"/>
      <c r="IM350" s="104"/>
      <c r="IN350" s="104"/>
      <c r="IO350" s="104"/>
      <c r="IP350" s="104"/>
      <c r="IQ350" s="104"/>
      <c r="IR350" s="104"/>
      <c r="IS350" s="104"/>
      <c r="IT350" s="104"/>
      <c r="IU350" s="104"/>
      <c r="IV350" s="104"/>
      <c r="IW350" s="104"/>
      <c r="IX350" s="104"/>
      <c r="IY350" s="104"/>
      <c r="IZ350" s="104"/>
      <c r="JA350" s="104"/>
    </row>
    <row r="351" spans="2:261" x14ac:dyDescent="0.2">
      <c r="B351" s="104"/>
      <c r="C351" s="104"/>
      <c r="D351" s="104"/>
      <c r="E351" s="104"/>
      <c r="F351" s="104"/>
      <c r="G351" s="104"/>
      <c r="H351" s="104"/>
      <c r="I351" s="104"/>
      <c r="J351" s="151"/>
      <c r="K351" s="104"/>
      <c r="L351" s="104"/>
      <c r="M351" s="104"/>
      <c r="N351" s="151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  <c r="BF351" s="104"/>
      <c r="BG351" s="104"/>
      <c r="BH351" s="104"/>
      <c r="BI351" s="104"/>
      <c r="BJ351" s="104"/>
      <c r="BK351" s="104"/>
      <c r="BL351" s="104"/>
      <c r="BM351" s="104"/>
      <c r="BN351" s="104"/>
      <c r="BO351" s="104"/>
      <c r="BP351" s="104"/>
      <c r="BQ351" s="104"/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4"/>
      <c r="CB351" s="104"/>
      <c r="CC351" s="104"/>
      <c r="CD351" s="104"/>
      <c r="CE351" s="104"/>
      <c r="CF351" s="104"/>
      <c r="CG351" s="104"/>
      <c r="CH351" s="104"/>
      <c r="CI351" s="104"/>
      <c r="CJ351" s="104"/>
      <c r="CK351" s="104"/>
      <c r="CL351" s="104"/>
      <c r="CM351" s="104"/>
      <c r="CN351" s="104"/>
      <c r="CO351" s="104"/>
      <c r="CP351" s="104"/>
      <c r="CQ351" s="104"/>
      <c r="CR351" s="104"/>
      <c r="CS351" s="104"/>
      <c r="CT351" s="104"/>
      <c r="CU351" s="104"/>
      <c r="CV351" s="104"/>
      <c r="CW351" s="104"/>
      <c r="CX351" s="104"/>
      <c r="CY351" s="104"/>
      <c r="CZ351" s="104"/>
      <c r="DA351" s="104"/>
      <c r="DB351" s="104"/>
      <c r="DC351" s="104"/>
      <c r="DD351" s="104"/>
      <c r="DE351" s="104"/>
      <c r="DF351" s="104"/>
      <c r="DG351" s="104"/>
      <c r="DH351" s="104"/>
      <c r="DI351" s="104"/>
      <c r="DJ351" s="104"/>
      <c r="DK351" s="104"/>
      <c r="DL351" s="104"/>
      <c r="DM351" s="104"/>
      <c r="DN351" s="104"/>
      <c r="DO351" s="104"/>
      <c r="DP351" s="104"/>
      <c r="DQ351" s="104"/>
      <c r="DR351" s="104"/>
      <c r="DS351" s="104"/>
      <c r="DT351" s="104"/>
      <c r="DU351" s="104"/>
      <c r="DV351" s="104"/>
      <c r="DW351" s="104"/>
      <c r="DX351" s="104"/>
      <c r="DY351" s="104"/>
      <c r="DZ351" s="104"/>
      <c r="EA351" s="104"/>
      <c r="EB351" s="104"/>
      <c r="EC351" s="104"/>
      <c r="ED351" s="104"/>
      <c r="EE351" s="104"/>
      <c r="EF351" s="104"/>
      <c r="EG351" s="104"/>
      <c r="EH351" s="104"/>
      <c r="EI351" s="104"/>
      <c r="EJ351" s="104"/>
      <c r="EK351" s="104"/>
      <c r="EL351" s="104"/>
      <c r="EM351" s="104"/>
      <c r="EN351" s="104"/>
      <c r="EO351" s="104"/>
      <c r="EP351" s="104"/>
      <c r="EQ351" s="104"/>
      <c r="ER351" s="104"/>
      <c r="ES351" s="104"/>
      <c r="ET351" s="104"/>
      <c r="EU351" s="104"/>
      <c r="EV351" s="104"/>
      <c r="EW351" s="104"/>
      <c r="EX351" s="104"/>
      <c r="EY351" s="104"/>
      <c r="EZ351" s="104"/>
      <c r="FA351" s="104"/>
      <c r="FB351" s="104"/>
      <c r="FC351" s="104"/>
      <c r="FD351" s="104"/>
      <c r="FE351" s="104"/>
      <c r="FF351" s="104"/>
      <c r="FG351" s="104"/>
      <c r="FH351" s="104"/>
      <c r="FI351" s="104"/>
      <c r="FJ351" s="104"/>
      <c r="FK351" s="104"/>
      <c r="FL351" s="104"/>
      <c r="FM351" s="104"/>
      <c r="FN351" s="104"/>
      <c r="FO351" s="104"/>
      <c r="FP351" s="104"/>
      <c r="FQ351" s="104"/>
      <c r="FR351" s="104"/>
      <c r="FS351" s="104"/>
      <c r="FT351" s="104"/>
      <c r="FU351" s="104"/>
      <c r="FV351" s="104"/>
      <c r="FW351" s="104"/>
      <c r="FX351" s="104"/>
      <c r="FY351" s="104"/>
      <c r="FZ351" s="104"/>
      <c r="GA351" s="104"/>
      <c r="GB351" s="104"/>
      <c r="GC351" s="104"/>
      <c r="GD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  <c r="HA351" s="104"/>
      <c r="HB351" s="104"/>
      <c r="HC351" s="104"/>
      <c r="HD351" s="104"/>
      <c r="HE351" s="104"/>
      <c r="HF351" s="104"/>
      <c r="HG351" s="104"/>
      <c r="HH351" s="104"/>
      <c r="HI351" s="104"/>
      <c r="HJ351" s="104"/>
      <c r="HK351" s="104"/>
      <c r="HL351" s="104"/>
      <c r="HM351" s="104"/>
      <c r="HN351" s="104"/>
      <c r="HO351" s="104"/>
      <c r="HP351" s="104"/>
      <c r="HQ351" s="104"/>
      <c r="HR351" s="104"/>
      <c r="HS351" s="104"/>
      <c r="HT351" s="104"/>
      <c r="HU351" s="104"/>
      <c r="HV351" s="104"/>
      <c r="HW351" s="104"/>
      <c r="HX351" s="104"/>
      <c r="HY351" s="104"/>
      <c r="HZ351" s="104"/>
      <c r="IA351" s="104"/>
      <c r="IB351" s="104"/>
      <c r="IC351" s="104"/>
      <c r="ID351" s="104"/>
      <c r="IE351" s="104"/>
      <c r="IF351" s="104"/>
      <c r="IG351" s="104"/>
      <c r="IH351" s="104"/>
      <c r="II351" s="104"/>
      <c r="IJ351" s="104"/>
      <c r="IK351" s="104"/>
      <c r="IL351" s="104"/>
      <c r="IM351" s="104"/>
      <c r="IN351" s="104"/>
      <c r="IO351" s="104"/>
      <c r="IP351" s="104"/>
      <c r="IQ351" s="104"/>
      <c r="IR351" s="104"/>
      <c r="IS351" s="104"/>
      <c r="IT351" s="104"/>
      <c r="IU351" s="104"/>
      <c r="IV351" s="104"/>
      <c r="IW351" s="104"/>
      <c r="IX351" s="104"/>
      <c r="IY351" s="104"/>
      <c r="IZ351" s="104"/>
      <c r="JA351" s="104"/>
    </row>
    <row r="352" spans="2:261" x14ac:dyDescent="0.2">
      <c r="B352" s="104"/>
      <c r="C352" s="104"/>
      <c r="D352" s="104"/>
      <c r="E352" s="104"/>
      <c r="F352" s="104"/>
      <c r="G352" s="104"/>
      <c r="H352" s="104"/>
      <c r="I352" s="104"/>
      <c r="J352" s="151"/>
      <c r="K352" s="104"/>
      <c r="L352" s="104"/>
      <c r="M352" s="104"/>
      <c r="N352" s="151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  <c r="BF352" s="104"/>
      <c r="BG352" s="104"/>
      <c r="BH352" s="104"/>
      <c r="BI352" s="104"/>
      <c r="BJ352" s="104"/>
      <c r="BK352" s="104"/>
      <c r="BL352" s="104"/>
      <c r="BM352" s="104"/>
      <c r="BN352" s="104"/>
      <c r="BO352" s="104"/>
      <c r="BP352" s="104"/>
      <c r="BQ352" s="104"/>
      <c r="BR352" s="104"/>
      <c r="BS352" s="104"/>
      <c r="BT352" s="104"/>
      <c r="BU352" s="104"/>
      <c r="BV352" s="104"/>
      <c r="BW352" s="104"/>
      <c r="BX352" s="104"/>
      <c r="BY352" s="104"/>
      <c r="BZ352" s="104"/>
      <c r="CA352" s="104"/>
      <c r="CB352" s="104"/>
      <c r="CC352" s="104"/>
      <c r="CD352" s="104"/>
      <c r="CE352" s="104"/>
      <c r="CF352" s="104"/>
      <c r="CG352" s="104"/>
      <c r="CH352" s="104"/>
      <c r="CI352" s="104"/>
      <c r="CJ352" s="104"/>
      <c r="CK352" s="104"/>
      <c r="CL352" s="104"/>
      <c r="CM352" s="104"/>
      <c r="CN352" s="104"/>
      <c r="CO352" s="104"/>
      <c r="CP352" s="104"/>
      <c r="CQ352" s="104"/>
      <c r="CR352" s="104"/>
      <c r="CS352" s="104"/>
      <c r="CT352" s="104"/>
      <c r="CU352" s="104"/>
      <c r="CV352" s="104"/>
      <c r="CW352" s="104"/>
      <c r="CX352" s="104"/>
      <c r="CY352" s="104"/>
      <c r="CZ352" s="104"/>
      <c r="DA352" s="104"/>
      <c r="DB352" s="104"/>
      <c r="DC352" s="104"/>
      <c r="DD352" s="104"/>
      <c r="DE352" s="104"/>
      <c r="DF352" s="104"/>
      <c r="DG352" s="104"/>
      <c r="DH352" s="104"/>
      <c r="DI352" s="104"/>
      <c r="DJ352" s="104"/>
      <c r="DK352" s="104"/>
      <c r="DL352" s="104"/>
      <c r="DM352" s="104"/>
      <c r="DN352" s="104"/>
      <c r="DO352" s="104"/>
      <c r="DP352" s="104"/>
      <c r="DQ352" s="104"/>
      <c r="DR352" s="104"/>
      <c r="DS352" s="104"/>
      <c r="DT352" s="104"/>
      <c r="DU352" s="104"/>
      <c r="DV352" s="104"/>
      <c r="DW352" s="104"/>
      <c r="DX352" s="104"/>
      <c r="DY352" s="104"/>
      <c r="DZ352" s="104"/>
      <c r="EA352" s="104"/>
      <c r="EB352" s="104"/>
      <c r="EC352" s="104"/>
      <c r="ED352" s="104"/>
      <c r="EE352" s="104"/>
      <c r="EF352" s="104"/>
      <c r="EG352" s="104"/>
      <c r="EH352" s="104"/>
      <c r="EI352" s="104"/>
      <c r="EJ352" s="104"/>
      <c r="EK352" s="104"/>
      <c r="EL352" s="104"/>
      <c r="EM352" s="104"/>
      <c r="EN352" s="104"/>
      <c r="EO352" s="104"/>
      <c r="EP352" s="104"/>
      <c r="EQ352" s="104"/>
      <c r="ER352" s="104"/>
      <c r="ES352" s="104"/>
      <c r="ET352" s="104"/>
      <c r="EU352" s="104"/>
      <c r="EV352" s="104"/>
      <c r="EW352" s="104"/>
      <c r="EX352" s="104"/>
      <c r="EY352" s="104"/>
      <c r="EZ352" s="104"/>
      <c r="FA352" s="104"/>
      <c r="FB352" s="104"/>
      <c r="FC352" s="104"/>
      <c r="FD352" s="104"/>
      <c r="FE352" s="104"/>
      <c r="FF352" s="104"/>
      <c r="FG352" s="104"/>
      <c r="FH352" s="104"/>
      <c r="FI352" s="104"/>
      <c r="FJ352" s="104"/>
      <c r="FK352" s="104"/>
      <c r="FL352" s="104"/>
      <c r="FM352" s="104"/>
      <c r="FN352" s="104"/>
      <c r="FO352" s="104"/>
      <c r="FP352" s="104"/>
      <c r="FQ352" s="104"/>
      <c r="FR352" s="104"/>
      <c r="FS352" s="104"/>
      <c r="FT352" s="104"/>
      <c r="FU352" s="104"/>
      <c r="FV352" s="104"/>
      <c r="FW352" s="104"/>
      <c r="FX352" s="104"/>
      <c r="FY352" s="104"/>
      <c r="FZ352" s="104"/>
      <c r="GA352" s="104"/>
      <c r="GB352" s="104"/>
      <c r="GC352" s="104"/>
      <c r="GD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  <c r="HA352" s="104"/>
      <c r="HB352" s="104"/>
      <c r="HC352" s="104"/>
      <c r="HD352" s="104"/>
      <c r="HE352" s="104"/>
      <c r="HF352" s="104"/>
      <c r="HG352" s="104"/>
      <c r="HH352" s="104"/>
      <c r="HI352" s="104"/>
      <c r="HJ352" s="104"/>
      <c r="HK352" s="104"/>
      <c r="HL352" s="104"/>
      <c r="HM352" s="104"/>
      <c r="HN352" s="104"/>
      <c r="HO352" s="104"/>
      <c r="HP352" s="104"/>
      <c r="HQ352" s="104"/>
      <c r="HR352" s="104"/>
      <c r="HS352" s="104"/>
      <c r="HT352" s="104"/>
      <c r="HU352" s="104"/>
      <c r="HV352" s="104"/>
      <c r="HW352" s="104"/>
      <c r="HX352" s="104"/>
      <c r="HY352" s="104"/>
      <c r="HZ352" s="104"/>
      <c r="IA352" s="104"/>
      <c r="IB352" s="104"/>
      <c r="IC352" s="104"/>
      <c r="ID352" s="104"/>
      <c r="IE352" s="104"/>
      <c r="IF352" s="104"/>
      <c r="IG352" s="104"/>
      <c r="IH352" s="104"/>
      <c r="II352" s="104"/>
      <c r="IJ352" s="104"/>
      <c r="IK352" s="104"/>
      <c r="IL352" s="104"/>
      <c r="IM352" s="104"/>
      <c r="IN352" s="104"/>
      <c r="IO352" s="104"/>
      <c r="IP352" s="104"/>
      <c r="IQ352" s="104"/>
      <c r="IR352" s="104"/>
      <c r="IS352" s="104"/>
      <c r="IT352" s="104"/>
      <c r="IU352" s="104"/>
      <c r="IV352" s="104"/>
      <c r="IW352" s="104"/>
      <c r="IX352" s="104"/>
      <c r="IY352" s="104"/>
      <c r="IZ352" s="104"/>
      <c r="JA352" s="104"/>
    </row>
    <row r="353" spans="2:261" x14ac:dyDescent="0.2">
      <c r="B353" s="104"/>
      <c r="C353" s="104"/>
      <c r="D353" s="104"/>
      <c r="E353" s="104"/>
      <c r="F353" s="104"/>
      <c r="G353" s="104"/>
      <c r="H353" s="104"/>
      <c r="I353" s="104"/>
      <c r="J353" s="151"/>
      <c r="K353" s="104"/>
      <c r="L353" s="104"/>
      <c r="M353" s="104"/>
      <c r="N353" s="151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  <c r="BF353" s="104"/>
      <c r="BG353" s="104"/>
      <c r="BH353" s="104"/>
      <c r="BI353" s="104"/>
      <c r="BJ353" s="104"/>
      <c r="BK353" s="104"/>
      <c r="BL353" s="104"/>
      <c r="BM353" s="104"/>
      <c r="BN353" s="104"/>
      <c r="BO353" s="104"/>
      <c r="BP353" s="104"/>
      <c r="BQ353" s="104"/>
      <c r="BR353" s="104"/>
      <c r="BS353" s="104"/>
      <c r="BT353" s="104"/>
      <c r="BU353" s="104"/>
      <c r="BV353" s="104"/>
      <c r="BW353" s="104"/>
      <c r="BX353" s="104"/>
      <c r="BY353" s="104"/>
      <c r="BZ353" s="104"/>
      <c r="CA353" s="104"/>
      <c r="CB353" s="104"/>
      <c r="CC353" s="104"/>
      <c r="CD353" s="104"/>
      <c r="CE353" s="104"/>
      <c r="CF353" s="104"/>
      <c r="CG353" s="104"/>
      <c r="CH353" s="104"/>
      <c r="CI353" s="104"/>
      <c r="CJ353" s="104"/>
      <c r="CK353" s="104"/>
      <c r="CL353" s="104"/>
      <c r="CM353" s="104"/>
      <c r="CN353" s="104"/>
      <c r="CO353" s="104"/>
      <c r="CP353" s="104"/>
      <c r="CQ353" s="104"/>
      <c r="CR353" s="104"/>
      <c r="CS353" s="104"/>
      <c r="CT353" s="104"/>
      <c r="CU353" s="104"/>
      <c r="CV353" s="104"/>
      <c r="CW353" s="104"/>
      <c r="CX353" s="104"/>
      <c r="CY353" s="104"/>
      <c r="CZ353" s="104"/>
      <c r="DA353" s="104"/>
      <c r="DB353" s="104"/>
      <c r="DC353" s="104"/>
      <c r="DD353" s="104"/>
      <c r="DE353" s="104"/>
      <c r="DF353" s="104"/>
      <c r="DG353" s="104"/>
      <c r="DH353" s="104"/>
      <c r="DI353" s="104"/>
      <c r="DJ353" s="104"/>
      <c r="DK353" s="104"/>
      <c r="DL353" s="104"/>
      <c r="DM353" s="104"/>
      <c r="DN353" s="104"/>
      <c r="DO353" s="104"/>
      <c r="DP353" s="104"/>
      <c r="DQ353" s="104"/>
      <c r="DR353" s="104"/>
      <c r="DS353" s="104"/>
      <c r="DT353" s="104"/>
      <c r="DU353" s="104"/>
      <c r="DV353" s="104"/>
      <c r="DW353" s="104"/>
      <c r="DX353" s="104"/>
      <c r="DY353" s="104"/>
      <c r="DZ353" s="104"/>
      <c r="EA353" s="104"/>
      <c r="EB353" s="104"/>
      <c r="EC353" s="104"/>
      <c r="ED353" s="104"/>
      <c r="EE353" s="104"/>
      <c r="EF353" s="104"/>
      <c r="EG353" s="104"/>
      <c r="EH353" s="104"/>
      <c r="EI353" s="104"/>
      <c r="EJ353" s="104"/>
      <c r="EK353" s="104"/>
      <c r="EL353" s="104"/>
      <c r="EM353" s="104"/>
      <c r="EN353" s="104"/>
      <c r="EO353" s="104"/>
      <c r="EP353" s="104"/>
      <c r="EQ353" s="104"/>
      <c r="ER353" s="104"/>
      <c r="ES353" s="104"/>
      <c r="ET353" s="104"/>
      <c r="EU353" s="104"/>
      <c r="EV353" s="104"/>
      <c r="EW353" s="104"/>
      <c r="EX353" s="104"/>
      <c r="EY353" s="104"/>
      <c r="EZ353" s="104"/>
      <c r="FA353" s="104"/>
      <c r="FB353" s="104"/>
      <c r="FC353" s="104"/>
      <c r="FD353" s="104"/>
      <c r="FE353" s="104"/>
      <c r="FF353" s="104"/>
      <c r="FG353" s="104"/>
      <c r="FH353" s="104"/>
      <c r="FI353" s="104"/>
      <c r="FJ353" s="104"/>
      <c r="FK353" s="104"/>
      <c r="FL353" s="104"/>
      <c r="FM353" s="104"/>
      <c r="FN353" s="104"/>
      <c r="FO353" s="104"/>
      <c r="FP353" s="104"/>
      <c r="FQ353" s="104"/>
      <c r="FR353" s="104"/>
      <c r="FS353" s="104"/>
      <c r="FT353" s="104"/>
      <c r="FU353" s="104"/>
      <c r="FV353" s="104"/>
      <c r="FW353" s="104"/>
      <c r="FX353" s="104"/>
      <c r="FY353" s="104"/>
      <c r="FZ353" s="104"/>
      <c r="GA353" s="104"/>
      <c r="GB353" s="104"/>
      <c r="GC353" s="104"/>
      <c r="GD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  <c r="HA353" s="104"/>
      <c r="HB353" s="104"/>
      <c r="HC353" s="104"/>
      <c r="HD353" s="104"/>
      <c r="HE353" s="104"/>
      <c r="HF353" s="104"/>
      <c r="HG353" s="104"/>
      <c r="HH353" s="104"/>
      <c r="HI353" s="104"/>
      <c r="HJ353" s="104"/>
      <c r="HK353" s="104"/>
      <c r="HL353" s="104"/>
      <c r="HM353" s="104"/>
      <c r="HN353" s="104"/>
      <c r="HO353" s="104"/>
      <c r="HP353" s="104"/>
      <c r="HQ353" s="104"/>
      <c r="HR353" s="104"/>
      <c r="HS353" s="104"/>
      <c r="HT353" s="104"/>
      <c r="HU353" s="104"/>
      <c r="HV353" s="104"/>
      <c r="HW353" s="104"/>
      <c r="HX353" s="104"/>
      <c r="HY353" s="104"/>
      <c r="HZ353" s="104"/>
      <c r="IA353" s="104"/>
      <c r="IB353" s="104"/>
      <c r="IC353" s="104"/>
      <c r="ID353" s="104"/>
      <c r="IE353" s="104"/>
      <c r="IF353" s="104"/>
      <c r="IG353" s="104"/>
      <c r="IH353" s="104"/>
      <c r="II353" s="104"/>
      <c r="IJ353" s="104"/>
      <c r="IK353" s="104"/>
      <c r="IL353" s="104"/>
      <c r="IM353" s="104"/>
      <c r="IN353" s="104"/>
      <c r="IO353" s="104"/>
      <c r="IP353" s="104"/>
      <c r="IQ353" s="104"/>
      <c r="IR353" s="104"/>
      <c r="IS353" s="104"/>
      <c r="IT353" s="104"/>
      <c r="IU353" s="104"/>
      <c r="IV353" s="104"/>
      <c r="IW353" s="104"/>
      <c r="IX353" s="104"/>
      <c r="IY353" s="104"/>
      <c r="IZ353" s="104"/>
      <c r="JA353" s="104"/>
    </row>
    <row r="354" spans="2:261" x14ac:dyDescent="0.2">
      <c r="B354" s="104"/>
      <c r="C354" s="104"/>
      <c r="D354" s="104"/>
      <c r="E354" s="104"/>
      <c r="F354" s="104"/>
      <c r="G354" s="104"/>
      <c r="H354" s="104"/>
      <c r="I354" s="104"/>
      <c r="J354" s="151"/>
      <c r="K354" s="104"/>
      <c r="L354" s="104"/>
      <c r="M354" s="104"/>
      <c r="N354" s="151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/>
      <c r="BL354" s="104"/>
      <c r="BM354" s="104"/>
      <c r="BN354" s="104"/>
      <c r="BO354" s="104"/>
      <c r="BP354" s="104"/>
      <c r="BQ354" s="104"/>
      <c r="BR354" s="104"/>
      <c r="BS354" s="104"/>
      <c r="BT354" s="104"/>
      <c r="BU354" s="104"/>
      <c r="BV354" s="104"/>
      <c r="BW354" s="104"/>
      <c r="BX354" s="104"/>
      <c r="BY354" s="104"/>
      <c r="BZ354" s="104"/>
      <c r="CA354" s="104"/>
      <c r="CB354" s="104"/>
      <c r="CC354" s="104"/>
      <c r="CD354" s="104"/>
      <c r="CE354" s="104"/>
      <c r="CF354" s="104"/>
      <c r="CG354" s="104"/>
      <c r="CH354" s="104"/>
      <c r="CI354" s="104"/>
      <c r="CJ354" s="104"/>
      <c r="CK354" s="104"/>
      <c r="CL354" s="104"/>
      <c r="CM354" s="104"/>
      <c r="CN354" s="104"/>
      <c r="CO354" s="104"/>
      <c r="CP354" s="104"/>
      <c r="CQ354" s="104"/>
      <c r="CR354" s="104"/>
      <c r="CS354" s="104"/>
      <c r="CT354" s="104"/>
      <c r="CU354" s="104"/>
      <c r="CV354" s="104"/>
      <c r="CW354" s="104"/>
      <c r="CX354" s="104"/>
      <c r="CY354" s="104"/>
      <c r="CZ354" s="104"/>
      <c r="DA354" s="104"/>
      <c r="DB354" s="104"/>
      <c r="DC354" s="104"/>
      <c r="DD354" s="104"/>
      <c r="DE354" s="104"/>
      <c r="DF354" s="104"/>
      <c r="DG354" s="104"/>
      <c r="DH354" s="104"/>
      <c r="DI354" s="104"/>
      <c r="DJ354" s="104"/>
      <c r="DK354" s="104"/>
      <c r="DL354" s="104"/>
      <c r="DM354" s="104"/>
      <c r="DN354" s="104"/>
      <c r="DO354" s="104"/>
      <c r="DP354" s="104"/>
      <c r="DQ354" s="104"/>
      <c r="DR354" s="104"/>
      <c r="DS354" s="104"/>
      <c r="DT354" s="104"/>
      <c r="DU354" s="104"/>
      <c r="DV354" s="104"/>
      <c r="DW354" s="104"/>
      <c r="DX354" s="104"/>
      <c r="DY354" s="104"/>
      <c r="DZ354" s="104"/>
      <c r="EA354" s="104"/>
      <c r="EB354" s="104"/>
      <c r="EC354" s="104"/>
      <c r="ED354" s="104"/>
      <c r="EE354" s="104"/>
      <c r="EF354" s="104"/>
      <c r="EG354" s="104"/>
      <c r="EH354" s="104"/>
      <c r="EI354" s="104"/>
      <c r="EJ354" s="104"/>
      <c r="EK354" s="104"/>
      <c r="EL354" s="104"/>
      <c r="EM354" s="104"/>
      <c r="EN354" s="104"/>
      <c r="EO354" s="104"/>
      <c r="EP354" s="104"/>
      <c r="EQ354" s="104"/>
      <c r="ER354" s="104"/>
      <c r="ES354" s="104"/>
      <c r="ET354" s="104"/>
      <c r="EU354" s="104"/>
      <c r="EV354" s="104"/>
      <c r="EW354" s="104"/>
      <c r="EX354" s="104"/>
      <c r="EY354" s="104"/>
      <c r="EZ354" s="104"/>
      <c r="FA354" s="104"/>
      <c r="FB354" s="104"/>
      <c r="FC354" s="104"/>
      <c r="FD354" s="104"/>
      <c r="FE354" s="104"/>
      <c r="FF354" s="104"/>
      <c r="FG354" s="104"/>
      <c r="FH354" s="104"/>
      <c r="FI354" s="104"/>
      <c r="FJ354" s="104"/>
      <c r="FK354" s="104"/>
      <c r="FL354" s="104"/>
      <c r="FM354" s="104"/>
      <c r="FN354" s="104"/>
      <c r="FO354" s="104"/>
      <c r="FP354" s="104"/>
      <c r="FQ354" s="104"/>
      <c r="FR354" s="104"/>
      <c r="FS354" s="104"/>
      <c r="FT354" s="104"/>
      <c r="FU354" s="104"/>
      <c r="FV354" s="104"/>
      <c r="FW354" s="104"/>
      <c r="FX354" s="104"/>
      <c r="FY354" s="104"/>
      <c r="FZ354" s="104"/>
      <c r="GA354" s="104"/>
      <c r="GB354" s="104"/>
      <c r="GC354" s="104"/>
      <c r="GD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  <c r="HA354" s="104"/>
      <c r="HB354" s="104"/>
      <c r="HC354" s="104"/>
      <c r="HD354" s="104"/>
      <c r="HE354" s="104"/>
      <c r="HF354" s="104"/>
      <c r="HG354" s="104"/>
      <c r="HH354" s="104"/>
      <c r="HI354" s="104"/>
      <c r="HJ354" s="104"/>
      <c r="HK354" s="104"/>
      <c r="HL354" s="104"/>
      <c r="HM354" s="104"/>
      <c r="HN354" s="104"/>
      <c r="HO354" s="104"/>
      <c r="HP354" s="104"/>
      <c r="HQ354" s="104"/>
      <c r="HR354" s="104"/>
      <c r="HS354" s="104"/>
      <c r="HT354" s="104"/>
      <c r="HU354" s="104"/>
      <c r="HV354" s="104"/>
      <c r="HW354" s="104"/>
      <c r="HX354" s="104"/>
      <c r="HY354" s="104"/>
      <c r="HZ354" s="104"/>
      <c r="IA354" s="104"/>
      <c r="IB354" s="104"/>
      <c r="IC354" s="104"/>
      <c r="ID354" s="104"/>
      <c r="IE354" s="104"/>
      <c r="IF354" s="104"/>
      <c r="IG354" s="104"/>
      <c r="IH354" s="104"/>
      <c r="II354" s="104"/>
      <c r="IJ354" s="104"/>
      <c r="IK354" s="104"/>
      <c r="IL354" s="104"/>
      <c r="IM354" s="104"/>
      <c r="IN354" s="104"/>
      <c r="IO354" s="104"/>
      <c r="IP354" s="104"/>
      <c r="IQ354" s="104"/>
      <c r="IR354" s="104"/>
      <c r="IS354" s="104"/>
      <c r="IT354" s="104"/>
      <c r="IU354" s="104"/>
      <c r="IV354" s="104"/>
      <c r="IW354" s="104"/>
      <c r="IX354" s="104"/>
      <c r="IY354" s="104"/>
      <c r="IZ354" s="104"/>
      <c r="JA354" s="104"/>
    </row>
    <row r="355" spans="2:261" x14ac:dyDescent="0.2">
      <c r="B355" s="104"/>
      <c r="C355" s="104"/>
      <c r="D355" s="104"/>
      <c r="E355" s="104"/>
      <c r="F355" s="104"/>
      <c r="G355" s="104"/>
      <c r="H355" s="104"/>
      <c r="I355" s="104"/>
      <c r="J355" s="151"/>
      <c r="K355" s="104"/>
      <c r="L355" s="104"/>
      <c r="M355" s="104"/>
      <c r="N355" s="151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  <c r="BF355" s="104"/>
      <c r="BG355" s="104"/>
      <c r="BH355" s="104"/>
      <c r="BI355" s="104"/>
      <c r="BJ355" s="104"/>
      <c r="BK355" s="104"/>
      <c r="BL355" s="104"/>
      <c r="BM355" s="104"/>
      <c r="BN355" s="104"/>
      <c r="BO355" s="104"/>
      <c r="BP355" s="104"/>
      <c r="BQ355" s="104"/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4"/>
      <c r="CB355" s="104"/>
      <c r="CC355" s="104"/>
      <c r="CD355" s="104"/>
      <c r="CE355" s="104"/>
      <c r="CF355" s="104"/>
      <c r="CG355" s="104"/>
      <c r="CH355" s="104"/>
      <c r="CI355" s="104"/>
      <c r="CJ355" s="104"/>
      <c r="CK355" s="104"/>
      <c r="CL355" s="104"/>
      <c r="CM355" s="104"/>
      <c r="CN355" s="104"/>
      <c r="CO355" s="104"/>
      <c r="CP355" s="104"/>
      <c r="CQ355" s="104"/>
      <c r="CR355" s="104"/>
      <c r="CS355" s="104"/>
      <c r="CT355" s="104"/>
      <c r="CU355" s="104"/>
      <c r="CV355" s="104"/>
      <c r="CW355" s="104"/>
      <c r="CX355" s="104"/>
      <c r="CY355" s="104"/>
      <c r="CZ355" s="104"/>
      <c r="DA355" s="104"/>
      <c r="DB355" s="104"/>
      <c r="DC355" s="104"/>
      <c r="DD355" s="104"/>
      <c r="DE355" s="104"/>
      <c r="DF355" s="104"/>
      <c r="DG355" s="104"/>
      <c r="DH355" s="104"/>
      <c r="DI355" s="104"/>
      <c r="DJ355" s="104"/>
      <c r="DK355" s="104"/>
      <c r="DL355" s="104"/>
      <c r="DM355" s="104"/>
      <c r="DN355" s="104"/>
      <c r="DO355" s="104"/>
      <c r="DP355" s="104"/>
      <c r="DQ355" s="104"/>
      <c r="DR355" s="104"/>
      <c r="DS355" s="104"/>
      <c r="DT355" s="104"/>
      <c r="DU355" s="104"/>
      <c r="DV355" s="104"/>
      <c r="DW355" s="104"/>
      <c r="DX355" s="104"/>
      <c r="DY355" s="104"/>
      <c r="DZ355" s="104"/>
      <c r="EA355" s="104"/>
      <c r="EB355" s="104"/>
      <c r="EC355" s="104"/>
      <c r="ED355" s="104"/>
      <c r="EE355" s="104"/>
      <c r="EF355" s="104"/>
      <c r="EG355" s="104"/>
      <c r="EH355" s="104"/>
      <c r="EI355" s="104"/>
      <c r="EJ355" s="104"/>
      <c r="EK355" s="104"/>
      <c r="EL355" s="104"/>
      <c r="EM355" s="104"/>
      <c r="EN355" s="104"/>
      <c r="EO355" s="104"/>
      <c r="EP355" s="104"/>
      <c r="EQ355" s="104"/>
      <c r="ER355" s="104"/>
      <c r="ES355" s="104"/>
      <c r="ET355" s="104"/>
      <c r="EU355" s="104"/>
      <c r="EV355" s="104"/>
      <c r="EW355" s="104"/>
      <c r="EX355" s="104"/>
      <c r="EY355" s="104"/>
      <c r="EZ355" s="104"/>
      <c r="FA355" s="104"/>
      <c r="FB355" s="104"/>
      <c r="FC355" s="104"/>
      <c r="FD355" s="104"/>
      <c r="FE355" s="104"/>
      <c r="FF355" s="104"/>
      <c r="FG355" s="104"/>
      <c r="FH355" s="104"/>
      <c r="FI355" s="104"/>
      <c r="FJ355" s="104"/>
      <c r="FK355" s="104"/>
      <c r="FL355" s="104"/>
      <c r="FM355" s="104"/>
      <c r="FN355" s="104"/>
      <c r="FO355" s="104"/>
      <c r="FP355" s="104"/>
      <c r="FQ355" s="104"/>
      <c r="FR355" s="104"/>
      <c r="FS355" s="104"/>
      <c r="FT355" s="104"/>
      <c r="FU355" s="104"/>
      <c r="FV355" s="104"/>
      <c r="FW355" s="104"/>
      <c r="FX355" s="104"/>
      <c r="FY355" s="104"/>
      <c r="FZ355" s="104"/>
      <c r="GA355" s="104"/>
      <c r="GB355" s="104"/>
      <c r="GC355" s="104"/>
      <c r="GD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  <c r="HA355" s="104"/>
      <c r="HB355" s="104"/>
      <c r="HC355" s="104"/>
      <c r="HD355" s="104"/>
      <c r="HE355" s="104"/>
      <c r="HF355" s="104"/>
      <c r="HG355" s="104"/>
      <c r="HH355" s="104"/>
      <c r="HI355" s="104"/>
      <c r="HJ355" s="104"/>
      <c r="HK355" s="104"/>
      <c r="HL355" s="104"/>
      <c r="HM355" s="104"/>
      <c r="HN355" s="104"/>
      <c r="HO355" s="104"/>
      <c r="HP355" s="104"/>
      <c r="HQ355" s="104"/>
      <c r="HR355" s="104"/>
      <c r="HS355" s="104"/>
      <c r="HT355" s="104"/>
      <c r="HU355" s="104"/>
      <c r="HV355" s="104"/>
      <c r="HW355" s="104"/>
      <c r="HX355" s="104"/>
      <c r="HY355" s="104"/>
      <c r="HZ355" s="104"/>
      <c r="IA355" s="104"/>
      <c r="IB355" s="104"/>
      <c r="IC355" s="104"/>
      <c r="ID355" s="104"/>
      <c r="IE355" s="104"/>
      <c r="IF355" s="104"/>
      <c r="IG355" s="104"/>
      <c r="IH355" s="104"/>
      <c r="II355" s="104"/>
      <c r="IJ355" s="104"/>
      <c r="IK355" s="104"/>
      <c r="IL355" s="104"/>
      <c r="IM355" s="104"/>
      <c r="IN355" s="104"/>
      <c r="IO355" s="104"/>
      <c r="IP355" s="104"/>
      <c r="IQ355" s="104"/>
      <c r="IR355" s="104"/>
      <c r="IS355" s="104"/>
      <c r="IT355" s="104"/>
      <c r="IU355" s="104"/>
      <c r="IV355" s="104"/>
      <c r="IW355" s="104"/>
      <c r="IX355" s="104"/>
      <c r="IY355" s="104"/>
      <c r="IZ355" s="104"/>
      <c r="JA355" s="104"/>
    </row>
    <row r="356" spans="2:261" x14ac:dyDescent="0.2">
      <c r="B356" s="104"/>
      <c r="C356" s="104"/>
      <c r="D356" s="104"/>
      <c r="E356" s="104"/>
      <c r="F356" s="104"/>
      <c r="G356" s="104"/>
      <c r="H356" s="104"/>
      <c r="I356" s="104"/>
      <c r="J356" s="151"/>
      <c r="K356" s="104"/>
      <c r="L356" s="104"/>
      <c r="M356" s="104"/>
      <c r="N356" s="151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  <c r="BF356" s="104"/>
      <c r="BG356" s="104"/>
      <c r="BH356" s="104"/>
      <c r="BI356" s="104"/>
      <c r="BJ356" s="104"/>
      <c r="BK356" s="104"/>
      <c r="BL356" s="104"/>
      <c r="BM356" s="104"/>
      <c r="BN356" s="104"/>
      <c r="BO356" s="104"/>
      <c r="BP356" s="104"/>
      <c r="BQ356" s="104"/>
      <c r="BR356" s="104"/>
      <c r="BS356" s="104"/>
      <c r="BT356" s="104"/>
      <c r="BU356" s="104"/>
      <c r="BV356" s="104"/>
      <c r="BW356" s="104"/>
      <c r="BX356" s="104"/>
      <c r="BY356" s="104"/>
      <c r="BZ356" s="104"/>
      <c r="CA356" s="104"/>
      <c r="CB356" s="104"/>
      <c r="CC356" s="104"/>
      <c r="CD356" s="104"/>
      <c r="CE356" s="104"/>
      <c r="CF356" s="104"/>
      <c r="CG356" s="104"/>
      <c r="CH356" s="104"/>
      <c r="CI356" s="104"/>
      <c r="CJ356" s="104"/>
      <c r="CK356" s="104"/>
      <c r="CL356" s="104"/>
      <c r="CM356" s="104"/>
      <c r="CN356" s="104"/>
      <c r="CO356" s="104"/>
      <c r="CP356" s="104"/>
      <c r="CQ356" s="104"/>
      <c r="CR356" s="104"/>
      <c r="CS356" s="104"/>
      <c r="CT356" s="104"/>
      <c r="CU356" s="104"/>
      <c r="CV356" s="104"/>
      <c r="CW356" s="104"/>
      <c r="CX356" s="104"/>
      <c r="CY356" s="104"/>
      <c r="CZ356" s="104"/>
      <c r="DA356" s="104"/>
      <c r="DB356" s="104"/>
      <c r="DC356" s="104"/>
      <c r="DD356" s="104"/>
      <c r="DE356" s="104"/>
      <c r="DF356" s="104"/>
      <c r="DG356" s="104"/>
      <c r="DH356" s="104"/>
      <c r="DI356" s="104"/>
      <c r="DJ356" s="104"/>
      <c r="DK356" s="104"/>
      <c r="DL356" s="104"/>
      <c r="DM356" s="104"/>
      <c r="DN356" s="104"/>
      <c r="DO356" s="104"/>
      <c r="DP356" s="104"/>
      <c r="DQ356" s="104"/>
      <c r="DR356" s="104"/>
      <c r="DS356" s="104"/>
      <c r="DT356" s="104"/>
      <c r="DU356" s="104"/>
      <c r="DV356" s="104"/>
      <c r="DW356" s="104"/>
      <c r="DX356" s="104"/>
      <c r="DY356" s="104"/>
      <c r="DZ356" s="104"/>
      <c r="EA356" s="104"/>
      <c r="EB356" s="104"/>
      <c r="EC356" s="104"/>
      <c r="ED356" s="104"/>
      <c r="EE356" s="104"/>
      <c r="EF356" s="104"/>
      <c r="EG356" s="104"/>
      <c r="EH356" s="104"/>
      <c r="EI356" s="104"/>
      <c r="EJ356" s="104"/>
      <c r="EK356" s="104"/>
      <c r="EL356" s="104"/>
      <c r="EM356" s="104"/>
      <c r="EN356" s="104"/>
      <c r="EO356" s="104"/>
      <c r="EP356" s="104"/>
      <c r="EQ356" s="104"/>
      <c r="ER356" s="104"/>
      <c r="ES356" s="104"/>
      <c r="ET356" s="104"/>
      <c r="EU356" s="104"/>
      <c r="EV356" s="104"/>
      <c r="EW356" s="104"/>
      <c r="EX356" s="104"/>
      <c r="EY356" s="104"/>
      <c r="EZ356" s="104"/>
      <c r="FA356" s="104"/>
      <c r="FB356" s="104"/>
      <c r="FC356" s="104"/>
      <c r="FD356" s="104"/>
      <c r="FE356" s="104"/>
      <c r="FF356" s="104"/>
      <c r="FG356" s="104"/>
      <c r="FH356" s="104"/>
      <c r="FI356" s="104"/>
      <c r="FJ356" s="104"/>
      <c r="FK356" s="104"/>
      <c r="FL356" s="104"/>
      <c r="FM356" s="104"/>
      <c r="FN356" s="104"/>
      <c r="FO356" s="104"/>
      <c r="FP356" s="104"/>
      <c r="FQ356" s="104"/>
      <c r="FR356" s="104"/>
      <c r="FS356" s="104"/>
      <c r="FT356" s="104"/>
      <c r="FU356" s="104"/>
      <c r="FV356" s="104"/>
      <c r="FW356" s="104"/>
      <c r="FX356" s="104"/>
      <c r="FY356" s="104"/>
      <c r="FZ356" s="104"/>
      <c r="GA356" s="104"/>
      <c r="GB356" s="104"/>
      <c r="GC356" s="104"/>
      <c r="GD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  <c r="HA356" s="104"/>
      <c r="HB356" s="104"/>
      <c r="HC356" s="104"/>
      <c r="HD356" s="104"/>
      <c r="HE356" s="104"/>
      <c r="HF356" s="104"/>
      <c r="HG356" s="104"/>
      <c r="HH356" s="104"/>
      <c r="HI356" s="104"/>
      <c r="HJ356" s="104"/>
      <c r="HK356" s="104"/>
      <c r="HL356" s="104"/>
      <c r="HM356" s="104"/>
      <c r="HN356" s="104"/>
      <c r="HO356" s="104"/>
      <c r="HP356" s="104"/>
      <c r="HQ356" s="104"/>
      <c r="HR356" s="104"/>
      <c r="HS356" s="104"/>
      <c r="HT356" s="104"/>
      <c r="HU356" s="104"/>
      <c r="HV356" s="104"/>
      <c r="HW356" s="104"/>
      <c r="HX356" s="104"/>
      <c r="HY356" s="104"/>
      <c r="HZ356" s="104"/>
      <c r="IA356" s="104"/>
      <c r="IB356" s="104"/>
      <c r="IC356" s="104"/>
      <c r="ID356" s="104"/>
      <c r="IE356" s="104"/>
      <c r="IF356" s="104"/>
      <c r="IG356" s="104"/>
      <c r="IH356" s="104"/>
      <c r="II356" s="104"/>
      <c r="IJ356" s="104"/>
      <c r="IK356" s="104"/>
      <c r="IL356" s="104"/>
      <c r="IM356" s="104"/>
      <c r="IN356" s="104"/>
      <c r="IO356" s="104"/>
      <c r="IP356" s="104"/>
      <c r="IQ356" s="104"/>
      <c r="IR356" s="104"/>
      <c r="IS356" s="104"/>
      <c r="IT356" s="104"/>
      <c r="IU356" s="104"/>
      <c r="IV356" s="104"/>
      <c r="IW356" s="104"/>
      <c r="IX356" s="104"/>
      <c r="IY356" s="104"/>
      <c r="IZ356" s="104"/>
      <c r="JA356" s="104"/>
    </row>
    <row r="357" spans="2:261" x14ac:dyDescent="0.2">
      <c r="B357" s="104"/>
      <c r="C357" s="104"/>
      <c r="D357" s="104"/>
      <c r="E357" s="104"/>
      <c r="F357" s="104"/>
      <c r="G357" s="104"/>
      <c r="H357" s="104"/>
      <c r="I357" s="104"/>
      <c r="J357" s="151"/>
      <c r="K357" s="104"/>
      <c r="L357" s="104"/>
      <c r="M357" s="104"/>
      <c r="N357" s="151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  <c r="BF357" s="104"/>
      <c r="BG357" s="104"/>
      <c r="BH357" s="104"/>
      <c r="BI357" s="104"/>
      <c r="BJ357" s="104"/>
      <c r="BK357" s="104"/>
      <c r="BL357" s="104"/>
      <c r="BM357" s="104"/>
      <c r="BN357" s="104"/>
      <c r="BO357" s="104"/>
      <c r="BP357" s="104"/>
      <c r="BQ357" s="104"/>
      <c r="BR357" s="104"/>
      <c r="BS357" s="104"/>
      <c r="BT357" s="104"/>
      <c r="BU357" s="104"/>
      <c r="BV357" s="104"/>
      <c r="BW357" s="104"/>
      <c r="BX357" s="104"/>
      <c r="BY357" s="104"/>
      <c r="BZ357" s="104"/>
      <c r="CA357" s="104"/>
      <c r="CB357" s="104"/>
      <c r="CC357" s="104"/>
      <c r="CD357" s="104"/>
      <c r="CE357" s="104"/>
      <c r="CF357" s="104"/>
      <c r="CG357" s="104"/>
      <c r="CH357" s="104"/>
      <c r="CI357" s="104"/>
      <c r="CJ357" s="104"/>
      <c r="CK357" s="104"/>
      <c r="CL357" s="104"/>
      <c r="CM357" s="104"/>
      <c r="CN357" s="104"/>
      <c r="CO357" s="104"/>
      <c r="CP357" s="104"/>
      <c r="CQ357" s="104"/>
      <c r="CR357" s="104"/>
      <c r="CS357" s="104"/>
      <c r="CT357" s="104"/>
      <c r="CU357" s="104"/>
      <c r="CV357" s="104"/>
      <c r="CW357" s="104"/>
      <c r="CX357" s="104"/>
      <c r="CY357" s="104"/>
      <c r="CZ357" s="104"/>
      <c r="DA357" s="104"/>
      <c r="DB357" s="104"/>
      <c r="DC357" s="104"/>
      <c r="DD357" s="104"/>
      <c r="DE357" s="104"/>
      <c r="DF357" s="104"/>
      <c r="DG357" s="104"/>
      <c r="DH357" s="104"/>
      <c r="DI357" s="104"/>
      <c r="DJ357" s="104"/>
      <c r="DK357" s="104"/>
      <c r="DL357" s="104"/>
      <c r="DM357" s="104"/>
      <c r="DN357" s="104"/>
      <c r="DO357" s="104"/>
      <c r="DP357" s="104"/>
      <c r="DQ357" s="104"/>
      <c r="DR357" s="104"/>
      <c r="DS357" s="104"/>
      <c r="DT357" s="104"/>
      <c r="DU357" s="104"/>
      <c r="DV357" s="104"/>
      <c r="DW357" s="104"/>
      <c r="DX357" s="104"/>
      <c r="DY357" s="104"/>
      <c r="DZ357" s="104"/>
      <c r="EA357" s="104"/>
      <c r="EB357" s="104"/>
      <c r="EC357" s="104"/>
      <c r="ED357" s="104"/>
      <c r="EE357" s="104"/>
      <c r="EF357" s="104"/>
      <c r="EG357" s="104"/>
      <c r="EH357" s="104"/>
      <c r="EI357" s="104"/>
      <c r="EJ357" s="104"/>
      <c r="EK357" s="104"/>
      <c r="EL357" s="104"/>
      <c r="EM357" s="104"/>
      <c r="EN357" s="104"/>
      <c r="EO357" s="104"/>
      <c r="EP357" s="104"/>
      <c r="EQ357" s="104"/>
      <c r="ER357" s="104"/>
      <c r="ES357" s="104"/>
      <c r="ET357" s="104"/>
      <c r="EU357" s="104"/>
      <c r="EV357" s="104"/>
      <c r="EW357" s="104"/>
      <c r="EX357" s="104"/>
      <c r="EY357" s="104"/>
      <c r="EZ357" s="104"/>
      <c r="FA357" s="104"/>
      <c r="FB357" s="104"/>
      <c r="FC357" s="104"/>
      <c r="FD357" s="104"/>
      <c r="FE357" s="104"/>
      <c r="FF357" s="104"/>
      <c r="FG357" s="104"/>
      <c r="FH357" s="104"/>
      <c r="FI357" s="104"/>
      <c r="FJ357" s="104"/>
      <c r="FK357" s="104"/>
      <c r="FL357" s="104"/>
      <c r="FM357" s="104"/>
      <c r="FN357" s="104"/>
      <c r="FO357" s="104"/>
      <c r="FP357" s="104"/>
      <c r="FQ357" s="104"/>
      <c r="FR357" s="104"/>
      <c r="FS357" s="104"/>
      <c r="FT357" s="104"/>
      <c r="FU357" s="104"/>
      <c r="FV357" s="104"/>
      <c r="FW357" s="104"/>
      <c r="FX357" s="104"/>
      <c r="FY357" s="104"/>
      <c r="FZ357" s="104"/>
      <c r="GA357" s="104"/>
      <c r="GB357" s="104"/>
      <c r="GC357" s="104"/>
      <c r="GD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  <c r="HA357" s="104"/>
      <c r="HB357" s="104"/>
      <c r="HC357" s="104"/>
      <c r="HD357" s="104"/>
      <c r="HE357" s="104"/>
      <c r="HF357" s="104"/>
      <c r="HG357" s="104"/>
      <c r="HH357" s="104"/>
      <c r="HI357" s="104"/>
      <c r="HJ357" s="104"/>
      <c r="HK357" s="104"/>
      <c r="HL357" s="104"/>
      <c r="HM357" s="104"/>
      <c r="HN357" s="104"/>
      <c r="HO357" s="104"/>
      <c r="HP357" s="104"/>
      <c r="HQ357" s="104"/>
      <c r="HR357" s="104"/>
      <c r="HS357" s="104"/>
      <c r="HT357" s="104"/>
      <c r="HU357" s="104"/>
      <c r="HV357" s="104"/>
      <c r="HW357" s="104"/>
      <c r="HX357" s="104"/>
      <c r="HY357" s="104"/>
      <c r="HZ357" s="104"/>
      <c r="IA357" s="104"/>
      <c r="IB357" s="104"/>
      <c r="IC357" s="104"/>
      <c r="ID357" s="104"/>
      <c r="IE357" s="104"/>
      <c r="IF357" s="104"/>
      <c r="IG357" s="104"/>
      <c r="IH357" s="104"/>
      <c r="II357" s="104"/>
      <c r="IJ357" s="104"/>
      <c r="IK357" s="104"/>
      <c r="IL357" s="104"/>
      <c r="IM357" s="104"/>
      <c r="IN357" s="104"/>
      <c r="IO357" s="104"/>
      <c r="IP357" s="104"/>
      <c r="IQ357" s="104"/>
      <c r="IR357" s="104"/>
      <c r="IS357" s="104"/>
      <c r="IT357" s="104"/>
      <c r="IU357" s="104"/>
      <c r="IV357" s="104"/>
      <c r="IW357" s="104"/>
      <c r="IX357" s="104"/>
      <c r="IY357" s="104"/>
      <c r="IZ357" s="104"/>
      <c r="JA357" s="104"/>
    </row>
    <row r="358" spans="2:261" x14ac:dyDescent="0.2">
      <c r="B358" s="104"/>
      <c r="C358" s="104"/>
      <c r="D358" s="104"/>
      <c r="E358" s="104"/>
      <c r="F358" s="104"/>
      <c r="G358" s="104"/>
      <c r="H358" s="104"/>
      <c r="I358" s="104"/>
      <c r="J358" s="151"/>
      <c r="K358" s="104"/>
      <c r="L358" s="104"/>
      <c r="M358" s="104"/>
      <c r="N358" s="151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  <c r="BF358" s="104"/>
      <c r="BG358" s="104"/>
      <c r="BH358" s="104"/>
      <c r="BI358" s="104"/>
      <c r="BJ358" s="104"/>
      <c r="BK358" s="104"/>
      <c r="BL358" s="104"/>
      <c r="BM358" s="104"/>
      <c r="BN358" s="104"/>
      <c r="BO358" s="104"/>
      <c r="BP358" s="104"/>
      <c r="BQ358" s="104"/>
      <c r="BR358" s="104"/>
      <c r="BS358" s="104"/>
      <c r="BT358" s="104"/>
      <c r="BU358" s="104"/>
      <c r="BV358" s="104"/>
      <c r="BW358" s="104"/>
      <c r="BX358" s="104"/>
      <c r="BY358" s="104"/>
      <c r="BZ358" s="104"/>
      <c r="CA358" s="104"/>
      <c r="CB358" s="104"/>
      <c r="CC358" s="104"/>
      <c r="CD358" s="104"/>
      <c r="CE358" s="104"/>
      <c r="CF358" s="104"/>
      <c r="CG358" s="104"/>
      <c r="CH358" s="104"/>
      <c r="CI358" s="104"/>
      <c r="CJ358" s="104"/>
      <c r="CK358" s="104"/>
      <c r="CL358" s="104"/>
      <c r="CM358" s="104"/>
      <c r="CN358" s="104"/>
      <c r="CO358" s="104"/>
      <c r="CP358" s="104"/>
      <c r="CQ358" s="104"/>
      <c r="CR358" s="104"/>
      <c r="CS358" s="104"/>
      <c r="CT358" s="104"/>
      <c r="CU358" s="104"/>
      <c r="CV358" s="104"/>
      <c r="CW358" s="104"/>
      <c r="CX358" s="104"/>
      <c r="CY358" s="104"/>
      <c r="CZ358" s="104"/>
      <c r="DA358" s="104"/>
      <c r="DB358" s="104"/>
      <c r="DC358" s="104"/>
      <c r="DD358" s="104"/>
      <c r="DE358" s="104"/>
      <c r="DF358" s="104"/>
      <c r="DG358" s="104"/>
      <c r="DH358" s="104"/>
      <c r="DI358" s="104"/>
      <c r="DJ358" s="104"/>
      <c r="DK358" s="104"/>
      <c r="DL358" s="104"/>
      <c r="DM358" s="104"/>
      <c r="DN358" s="104"/>
      <c r="DO358" s="104"/>
      <c r="DP358" s="104"/>
      <c r="DQ358" s="104"/>
      <c r="DR358" s="104"/>
      <c r="DS358" s="104"/>
      <c r="DT358" s="104"/>
      <c r="DU358" s="104"/>
      <c r="DV358" s="104"/>
      <c r="DW358" s="104"/>
      <c r="DX358" s="104"/>
      <c r="DY358" s="104"/>
      <c r="DZ358" s="104"/>
      <c r="EA358" s="104"/>
      <c r="EB358" s="104"/>
      <c r="EC358" s="104"/>
      <c r="ED358" s="104"/>
      <c r="EE358" s="104"/>
      <c r="EF358" s="104"/>
      <c r="EG358" s="104"/>
      <c r="EH358" s="104"/>
      <c r="EI358" s="104"/>
      <c r="EJ358" s="104"/>
      <c r="EK358" s="104"/>
      <c r="EL358" s="104"/>
      <c r="EM358" s="104"/>
      <c r="EN358" s="104"/>
      <c r="EO358" s="104"/>
      <c r="EP358" s="104"/>
      <c r="EQ358" s="104"/>
      <c r="ER358" s="104"/>
      <c r="ES358" s="104"/>
      <c r="ET358" s="104"/>
      <c r="EU358" s="104"/>
      <c r="EV358" s="104"/>
      <c r="EW358" s="104"/>
      <c r="EX358" s="104"/>
      <c r="EY358" s="104"/>
      <c r="EZ358" s="104"/>
      <c r="FA358" s="104"/>
      <c r="FB358" s="104"/>
      <c r="FC358" s="104"/>
      <c r="FD358" s="104"/>
      <c r="FE358" s="104"/>
      <c r="FF358" s="104"/>
      <c r="FG358" s="104"/>
      <c r="FH358" s="104"/>
      <c r="FI358" s="104"/>
      <c r="FJ358" s="104"/>
      <c r="FK358" s="104"/>
      <c r="FL358" s="104"/>
      <c r="FM358" s="104"/>
      <c r="FN358" s="104"/>
      <c r="FO358" s="104"/>
      <c r="FP358" s="104"/>
      <c r="FQ358" s="104"/>
      <c r="FR358" s="104"/>
      <c r="FS358" s="104"/>
      <c r="FT358" s="104"/>
      <c r="FU358" s="104"/>
      <c r="FV358" s="104"/>
      <c r="FW358" s="104"/>
      <c r="FX358" s="104"/>
      <c r="FY358" s="104"/>
      <c r="FZ358" s="104"/>
      <c r="GA358" s="104"/>
      <c r="GB358" s="104"/>
      <c r="GC358" s="104"/>
      <c r="GD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  <c r="HA358" s="104"/>
      <c r="HB358" s="104"/>
      <c r="HC358" s="104"/>
      <c r="HD358" s="104"/>
      <c r="HE358" s="104"/>
      <c r="HF358" s="104"/>
      <c r="HG358" s="104"/>
      <c r="HH358" s="104"/>
      <c r="HI358" s="104"/>
      <c r="HJ358" s="104"/>
      <c r="HK358" s="104"/>
      <c r="HL358" s="104"/>
      <c r="HM358" s="104"/>
      <c r="HN358" s="104"/>
      <c r="HO358" s="104"/>
      <c r="HP358" s="104"/>
      <c r="HQ358" s="104"/>
      <c r="HR358" s="104"/>
      <c r="HS358" s="104"/>
      <c r="HT358" s="104"/>
      <c r="HU358" s="104"/>
      <c r="HV358" s="104"/>
      <c r="HW358" s="104"/>
      <c r="HX358" s="104"/>
      <c r="HY358" s="104"/>
      <c r="HZ358" s="104"/>
      <c r="IA358" s="104"/>
      <c r="IB358" s="104"/>
      <c r="IC358" s="104"/>
      <c r="ID358" s="104"/>
      <c r="IE358" s="104"/>
      <c r="IF358" s="104"/>
      <c r="IG358" s="104"/>
      <c r="IH358" s="104"/>
      <c r="II358" s="104"/>
      <c r="IJ358" s="104"/>
      <c r="IK358" s="104"/>
      <c r="IL358" s="104"/>
      <c r="IM358" s="104"/>
      <c r="IN358" s="104"/>
      <c r="IO358" s="104"/>
      <c r="IP358" s="104"/>
      <c r="IQ358" s="104"/>
      <c r="IR358" s="104"/>
      <c r="IS358" s="104"/>
      <c r="IT358" s="104"/>
      <c r="IU358" s="104"/>
      <c r="IV358" s="104"/>
      <c r="IW358" s="104"/>
      <c r="IX358" s="104"/>
      <c r="IY358" s="104"/>
      <c r="IZ358" s="104"/>
      <c r="JA358" s="104"/>
    </row>
    <row r="359" spans="2:261" x14ac:dyDescent="0.2">
      <c r="B359" s="104"/>
      <c r="C359" s="104"/>
      <c r="D359" s="104"/>
      <c r="E359" s="104"/>
      <c r="F359" s="104"/>
      <c r="G359" s="104"/>
      <c r="H359" s="104"/>
      <c r="I359" s="104"/>
      <c r="J359" s="151"/>
      <c r="K359" s="104"/>
      <c r="L359" s="104"/>
      <c r="M359" s="104"/>
      <c r="N359" s="151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  <c r="BK359" s="104"/>
      <c r="BL359" s="104"/>
      <c r="BM359" s="104"/>
      <c r="BN359" s="104"/>
      <c r="BO359" s="104"/>
      <c r="BP359" s="104"/>
      <c r="BQ359" s="104"/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4"/>
      <c r="CB359" s="104"/>
      <c r="CC359" s="104"/>
      <c r="CD359" s="104"/>
      <c r="CE359" s="104"/>
      <c r="CF359" s="104"/>
      <c r="CG359" s="104"/>
      <c r="CH359" s="104"/>
      <c r="CI359" s="104"/>
      <c r="CJ359" s="104"/>
      <c r="CK359" s="104"/>
      <c r="CL359" s="104"/>
      <c r="CM359" s="104"/>
      <c r="CN359" s="104"/>
      <c r="CO359" s="104"/>
      <c r="CP359" s="104"/>
      <c r="CQ359" s="104"/>
      <c r="CR359" s="104"/>
      <c r="CS359" s="104"/>
      <c r="CT359" s="104"/>
      <c r="CU359" s="104"/>
      <c r="CV359" s="104"/>
      <c r="CW359" s="104"/>
      <c r="CX359" s="104"/>
      <c r="CY359" s="104"/>
      <c r="CZ359" s="104"/>
      <c r="DA359" s="104"/>
      <c r="DB359" s="104"/>
      <c r="DC359" s="104"/>
      <c r="DD359" s="104"/>
      <c r="DE359" s="104"/>
      <c r="DF359" s="104"/>
      <c r="DG359" s="104"/>
      <c r="DH359" s="104"/>
      <c r="DI359" s="104"/>
      <c r="DJ359" s="104"/>
      <c r="DK359" s="104"/>
      <c r="DL359" s="104"/>
      <c r="DM359" s="104"/>
      <c r="DN359" s="104"/>
      <c r="DO359" s="104"/>
      <c r="DP359" s="104"/>
      <c r="DQ359" s="104"/>
      <c r="DR359" s="104"/>
      <c r="DS359" s="104"/>
      <c r="DT359" s="104"/>
      <c r="DU359" s="104"/>
      <c r="DV359" s="104"/>
      <c r="DW359" s="104"/>
      <c r="DX359" s="104"/>
      <c r="DY359" s="104"/>
      <c r="DZ359" s="104"/>
      <c r="EA359" s="104"/>
      <c r="EB359" s="104"/>
      <c r="EC359" s="104"/>
      <c r="ED359" s="104"/>
      <c r="EE359" s="104"/>
      <c r="EF359" s="104"/>
      <c r="EG359" s="104"/>
      <c r="EH359" s="104"/>
      <c r="EI359" s="104"/>
      <c r="EJ359" s="104"/>
      <c r="EK359" s="104"/>
      <c r="EL359" s="104"/>
      <c r="EM359" s="104"/>
      <c r="EN359" s="104"/>
      <c r="EO359" s="104"/>
      <c r="EP359" s="104"/>
      <c r="EQ359" s="104"/>
      <c r="ER359" s="104"/>
      <c r="ES359" s="104"/>
      <c r="ET359" s="104"/>
      <c r="EU359" s="104"/>
      <c r="EV359" s="104"/>
      <c r="EW359" s="104"/>
      <c r="EX359" s="104"/>
      <c r="EY359" s="104"/>
      <c r="EZ359" s="104"/>
      <c r="FA359" s="104"/>
      <c r="FB359" s="104"/>
      <c r="FC359" s="104"/>
      <c r="FD359" s="104"/>
      <c r="FE359" s="104"/>
      <c r="FF359" s="104"/>
      <c r="FG359" s="104"/>
      <c r="FH359" s="104"/>
      <c r="FI359" s="104"/>
      <c r="FJ359" s="104"/>
      <c r="FK359" s="104"/>
      <c r="FL359" s="104"/>
      <c r="FM359" s="104"/>
      <c r="FN359" s="104"/>
      <c r="FO359" s="104"/>
      <c r="FP359" s="104"/>
      <c r="FQ359" s="104"/>
      <c r="FR359" s="104"/>
      <c r="FS359" s="104"/>
      <c r="FT359" s="104"/>
      <c r="FU359" s="104"/>
      <c r="FV359" s="104"/>
      <c r="FW359" s="104"/>
      <c r="FX359" s="104"/>
      <c r="FY359" s="104"/>
      <c r="FZ359" s="104"/>
      <c r="GA359" s="104"/>
      <c r="GB359" s="104"/>
      <c r="GC359" s="104"/>
      <c r="GD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  <c r="HA359" s="104"/>
      <c r="HB359" s="104"/>
      <c r="HC359" s="104"/>
      <c r="HD359" s="104"/>
      <c r="HE359" s="104"/>
      <c r="HF359" s="104"/>
      <c r="HG359" s="104"/>
      <c r="HH359" s="104"/>
      <c r="HI359" s="104"/>
      <c r="HJ359" s="104"/>
      <c r="HK359" s="104"/>
      <c r="HL359" s="104"/>
      <c r="HM359" s="104"/>
      <c r="HN359" s="104"/>
      <c r="HO359" s="104"/>
      <c r="HP359" s="104"/>
      <c r="HQ359" s="104"/>
      <c r="HR359" s="104"/>
      <c r="HS359" s="104"/>
      <c r="HT359" s="104"/>
      <c r="HU359" s="104"/>
      <c r="HV359" s="104"/>
      <c r="HW359" s="104"/>
      <c r="HX359" s="104"/>
      <c r="HY359" s="104"/>
      <c r="HZ359" s="104"/>
      <c r="IA359" s="104"/>
      <c r="IB359" s="104"/>
      <c r="IC359" s="104"/>
      <c r="ID359" s="104"/>
      <c r="IE359" s="104"/>
      <c r="IF359" s="104"/>
      <c r="IG359" s="104"/>
      <c r="IH359" s="104"/>
      <c r="II359" s="104"/>
      <c r="IJ359" s="104"/>
      <c r="IK359" s="104"/>
      <c r="IL359" s="104"/>
      <c r="IM359" s="104"/>
      <c r="IN359" s="104"/>
      <c r="IO359" s="104"/>
      <c r="IP359" s="104"/>
      <c r="IQ359" s="104"/>
      <c r="IR359" s="104"/>
      <c r="IS359" s="104"/>
      <c r="IT359" s="104"/>
      <c r="IU359" s="104"/>
      <c r="IV359" s="104"/>
      <c r="IW359" s="104"/>
      <c r="IX359" s="104"/>
      <c r="IY359" s="104"/>
      <c r="IZ359" s="104"/>
      <c r="JA359" s="104"/>
    </row>
    <row r="360" spans="2:261" x14ac:dyDescent="0.2">
      <c r="B360" s="104"/>
      <c r="C360" s="104"/>
      <c r="D360" s="104"/>
      <c r="E360" s="104"/>
      <c r="F360" s="104"/>
      <c r="G360" s="104"/>
      <c r="H360" s="104"/>
      <c r="I360" s="104"/>
      <c r="J360" s="151"/>
      <c r="K360" s="104"/>
      <c r="L360" s="104"/>
      <c r="M360" s="104"/>
      <c r="N360" s="151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  <c r="BK360" s="104"/>
      <c r="BL360" s="104"/>
      <c r="BM360" s="104"/>
      <c r="BN360" s="104"/>
      <c r="BO360" s="104"/>
      <c r="BP360" s="104"/>
      <c r="BQ360" s="104"/>
      <c r="BR360" s="104"/>
      <c r="BS360" s="104"/>
      <c r="BT360" s="104"/>
      <c r="BU360" s="104"/>
      <c r="BV360" s="104"/>
      <c r="BW360" s="104"/>
      <c r="BX360" s="104"/>
      <c r="BY360" s="104"/>
      <c r="BZ360" s="104"/>
      <c r="CA360" s="104"/>
      <c r="CB360" s="104"/>
      <c r="CC360" s="104"/>
      <c r="CD360" s="104"/>
      <c r="CE360" s="104"/>
      <c r="CF360" s="104"/>
      <c r="CG360" s="104"/>
      <c r="CH360" s="104"/>
      <c r="CI360" s="104"/>
      <c r="CJ360" s="104"/>
      <c r="CK360" s="104"/>
      <c r="CL360" s="104"/>
      <c r="CM360" s="104"/>
      <c r="CN360" s="104"/>
      <c r="CO360" s="104"/>
      <c r="CP360" s="104"/>
      <c r="CQ360" s="104"/>
      <c r="CR360" s="104"/>
      <c r="CS360" s="104"/>
      <c r="CT360" s="104"/>
      <c r="CU360" s="104"/>
      <c r="CV360" s="104"/>
      <c r="CW360" s="104"/>
      <c r="CX360" s="104"/>
      <c r="CY360" s="104"/>
      <c r="CZ360" s="104"/>
      <c r="DA360" s="104"/>
      <c r="DB360" s="104"/>
      <c r="DC360" s="104"/>
      <c r="DD360" s="104"/>
      <c r="DE360" s="104"/>
      <c r="DF360" s="104"/>
      <c r="DG360" s="104"/>
      <c r="DH360" s="104"/>
      <c r="DI360" s="104"/>
      <c r="DJ360" s="104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104"/>
      <c r="DV360" s="104"/>
      <c r="DW360" s="104"/>
      <c r="DX360" s="104"/>
      <c r="DY360" s="104"/>
      <c r="DZ360" s="104"/>
      <c r="EA360" s="104"/>
      <c r="EB360" s="104"/>
      <c r="EC360" s="104"/>
      <c r="ED360" s="104"/>
      <c r="EE360" s="104"/>
      <c r="EF360" s="104"/>
      <c r="EG360" s="104"/>
      <c r="EH360" s="104"/>
      <c r="EI360" s="104"/>
      <c r="EJ360" s="104"/>
      <c r="EK360" s="104"/>
      <c r="EL360" s="104"/>
      <c r="EM360" s="104"/>
      <c r="EN360" s="104"/>
      <c r="EO360" s="104"/>
      <c r="EP360" s="104"/>
      <c r="EQ360" s="104"/>
      <c r="ER360" s="104"/>
      <c r="ES360" s="104"/>
      <c r="ET360" s="104"/>
      <c r="EU360" s="104"/>
      <c r="EV360" s="104"/>
      <c r="EW360" s="104"/>
      <c r="EX360" s="104"/>
      <c r="EY360" s="104"/>
      <c r="EZ360" s="104"/>
      <c r="FA360" s="104"/>
      <c r="FB360" s="104"/>
      <c r="FC360" s="104"/>
      <c r="FD360" s="104"/>
      <c r="FE360" s="104"/>
      <c r="FF360" s="104"/>
      <c r="FG360" s="104"/>
      <c r="FH360" s="104"/>
      <c r="FI360" s="104"/>
      <c r="FJ360" s="104"/>
      <c r="FK360" s="104"/>
      <c r="FL360" s="104"/>
      <c r="FM360" s="104"/>
      <c r="FN360" s="104"/>
      <c r="FO360" s="104"/>
      <c r="FP360" s="104"/>
      <c r="FQ360" s="104"/>
      <c r="FR360" s="104"/>
      <c r="FS360" s="104"/>
      <c r="FT360" s="104"/>
      <c r="FU360" s="104"/>
      <c r="FV360" s="104"/>
      <c r="FW360" s="104"/>
      <c r="FX360" s="104"/>
      <c r="FY360" s="104"/>
      <c r="FZ360" s="104"/>
      <c r="GA360" s="104"/>
      <c r="GB360" s="104"/>
      <c r="GC360" s="104"/>
      <c r="GD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  <c r="HA360" s="104"/>
      <c r="HB360" s="104"/>
      <c r="HC360" s="104"/>
      <c r="HD360" s="104"/>
      <c r="HE360" s="104"/>
      <c r="HF360" s="104"/>
      <c r="HG360" s="104"/>
      <c r="HH360" s="104"/>
      <c r="HI360" s="104"/>
      <c r="HJ360" s="104"/>
      <c r="HK360" s="104"/>
      <c r="HL360" s="104"/>
      <c r="HM360" s="104"/>
      <c r="HN360" s="104"/>
      <c r="HO360" s="104"/>
      <c r="HP360" s="104"/>
      <c r="HQ360" s="104"/>
      <c r="HR360" s="104"/>
      <c r="HS360" s="104"/>
      <c r="HT360" s="104"/>
      <c r="HU360" s="104"/>
      <c r="HV360" s="104"/>
      <c r="HW360" s="104"/>
      <c r="HX360" s="104"/>
      <c r="HY360" s="104"/>
      <c r="HZ360" s="104"/>
      <c r="IA360" s="104"/>
      <c r="IB360" s="104"/>
      <c r="IC360" s="104"/>
      <c r="ID360" s="104"/>
      <c r="IE360" s="104"/>
      <c r="IF360" s="104"/>
      <c r="IG360" s="104"/>
      <c r="IH360" s="104"/>
      <c r="II360" s="104"/>
      <c r="IJ360" s="104"/>
      <c r="IK360" s="104"/>
      <c r="IL360" s="104"/>
      <c r="IM360" s="104"/>
      <c r="IN360" s="104"/>
      <c r="IO360" s="104"/>
      <c r="IP360" s="104"/>
      <c r="IQ360" s="104"/>
      <c r="IR360" s="104"/>
      <c r="IS360" s="104"/>
      <c r="IT360" s="104"/>
      <c r="IU360" s="104"/>
      <c r="IV360" s="104"/>
      <c r="IW360" s="104"/>
      <c r="IX360" s="104"/>
      <c r="IY360" s="104"/>
      <c r="IZ360" s="104"/>
      <c r="JA360" s="104"/>
    </row>
    <row r="361" spans="2:261" x14ac:dyDescent="0.2">
      <c r="B361" s="104"/>
      <c r="C361" s="104"/>
      <c r="D361" s="104"/>
      <c r="E361" s="104"/>
      <c r="F361" s="104"/>
      <c r="G361" s="104"/>
      <c r="H361" s="104"/>
      <c r="I361" s="104"/>
      <c r="J361" s="151"/>
      <c r="K361" s="104"/>
      <c r="L361" s="104"/>
      <c r="M361" s="104"/>
      <c r="N361" s="151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  <c r="BK361" s="104"/>
      <c r="BL361" s="104"/>
      <c r="BM361" s="104"/>
      <c r="BN361" s="104"/>
      <c r="BO361" s="104"/>
      <c r="BP361" s="104"/>
      <c r="BQ361" s="104"/>
      <c r="BR361" s="104"/>
      <c r="BS361" s="104"/>
      <c r="BT361" s="104"/>
      <c r="BU361" s="104"/>
      <c r="BV361" s="104"/>
      <c r="BW361" s="104"/>
      <c r="BX361" s="104"/>
      <c r="BY361" s="104"/>
      <c r="BZ361" s="104"/>
      <c r="CA361" s="104"/>
      <c r="CB361" s="104"/>
      <c r="CC361" s="104"/>
      <c r="CD361" s="104"/>
      <c r="CE361" s="104"/>
      <c r="CF361" s="104"/>
      <c r="CG361" s="104"/>
      <c r="CH361" s="104"/>
      <c r="CI361" s="104"/>
      <c r="CJ361" s="104"/>
      <c r="CK361" s="104"/>
      <c r="CL361" s="104"/>
      <c r="CM361" s="104"/>
      <c r="CN361" s="104"/>
      <c r="CO361" s="104"/>
      <c r="CP361" s="104"/>
      <c r="CQ361" s="104"/>
      <c r="CR361" s="104"/>
      <c r="CS361" s="104"/>
      <c r="CT361" s="104"/>
      <c r="CU361" s="104"/>
      <c r="CV361" s="104"/>
      <c r="CW361" s="104"/>
      <c r="CX361" s="104"/>
      <c r="CY361" s="104"/>
      <c r="CZ361" s="104"/>
      <c r="DA361" s="104"/>
      <c r="DB361" s="104"/>
      <c r="DC361" s="104"/>
      <c r="DD361" s="104"/>
      <c r="DE361" s="104"/>
      <c r="DF361" s="104"/>
      <c r="DG361" s="104"/>
      <c r="DH361" s="104"/>
      <c r="DI361" s="104"/>
      <c r="DJ361" s="104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104"/>
      <c r="DV361" s="104"/>
      <c r="DW361" s="104"/>
      <c r="DX361" s="104"/>
      <c r="DY361" s="104"/>
      <c r="DZ361" s="104"/>
      <c r="EA361" s="104"/>
      <c r="EB361" s="104"/>
      <c r="EC361" s="104"/>
      <c r="ED361" s="104"/>
      <c r="EE361" s="104"/>
      <c r="EF361" s="104"/>
      <c r="EG361" s="104"/>
      <c r="EH361" s="104"/>
      <c r="EI361" s="104"/>
      <c r="EJ361" s="104"/>
      <c r="EK361" s="104"/>
      <c r="EL361" s="104"/>
      <c r="EM361" s="104"/>
      <c r="EN361" s="104"/>
      <c r="EO361" s="104"/>
      <c r="EP361" s="104"/>
      <c r="EQ361" s="104"/>
      <c r="ER361" s="104"/>
      <c r="ES361" s="104"/>
      <c r="ET361" s="104"/>
      <c r="EU361" s="104"/>
      <c r="EV361" s="104"/>
      <c r="EW361" s="104"/>
      <c r="EX361" s="104"/>
      <c r="EY361" s="104"/>
      <c r="EZ361" s="104"/>
      <c r="FA361" s="104"/>
      <c r="FB361" s="104"/>
      <c r="FC361" s="104"/>
      <c r="FD361" s="104"/>
      <c r="FE361" s="104"/>
      <c r="FF361" s="104"/>
      <c r="FG361" s="104"/>
      <c r="FH361" s="104"/>
      <c r="FI361" s="104"/>
      <c r="FJ361" s="104"/>
      <c r="FK361" s="104"/>
      <c r="FL361" s="104"/>
      <c r="FM361" s="104"/>
      <c r="FN361" s="104"/>
      <c r="FO361" s="104"/>
      <c r="FP361" s="104"/>
      <c r="FQ361" s="104"/>
      <c r="FR361" s="104"/>
      <c r="FS361" s="104"/>
      <c r="FT361" s="104"/>
      <c r="FU361" s="104"/>
      <c r="FV361" s="104"/>
      <c r="FW361" s="104"/>
      <c r="FX361" s="104"/>
      <c r="FY361" s="104"/>
      <c r="FZ361" s="104"/>
      <c r="GA361" s="104"/>
      <c r="GB361" s="104"/>
      <c r="GC361" s="104"/>
      <c r="GD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  <c r="HA361" s="104"/>
      <c r="HB361" s="104"/>
      <c r="HC361" s="104"/>
      <c r="HD361" s="104"/>
      <c r="HE361" s="104"/>
      <c r="HF361" s="104"/>
      <c r="HG361" s="104"/>
      <c r="HH361" s="104"/>
      <c r="HI361" s="104"/>
      <c r="HJ361" s="104"/>
      <c r="HK361" s="104"/>
      <c r="HL361" s="104"/>
      <c r="HM361" s="104"/>
      <c r="HN361" s="104"/>
      <c r="HO361" s="104"/>
      <c r="HP361" s="104"/>
      <c r="HQ361" s="104"/>
      <c r="HR361" s="104"/>
      <c r="HS361" s="104"/>
      <c r="HT361" s="104"/>
      <c r="HU361" s="104"/>
      <c r="HV361" s="104"/>
      <c r="HW361" s="104"/>
      <c r="HX361" s="104"/>
      <c r="HY361" s="104"/>
      <c r="HZ361" s="104"/>
      <c r="IA361" s="104"/>
      <c r="IB361" s="104"/>
      <c r="IC361" s="104"/>
      <c r="ID361" s="104"/>
      <c r="IE361" s="104"/>
      <c r="IF361" s="104"/>
      <c r="IG361" s="104"/>
      <c r="IH361" s="104"/>
      <c r="II361" s="104"/>
      <c r="IJ361" s="104"/>
      <c r="IK361" s="104"/>
      <c r="IL361" s="104"/>
      <c r="IM361" s="104"/>
      <c r="IN361" s="104"/>
      <c r="IO361" s="104"/>
      <c r="IP361" s="104"/>
      <c r="IQ361" s="104"/>
      <c r="IR361" s="104"/>
      <c r="IS361" s="104"/>
      <c r="IT361" s="104"/>
      <c r="IU361" s="104"/>
      <c r="IV361" s="104"/>
      <c r="IW361" s="104"/>
      <c r="IX361" s="104"/>
      <c r="IY361" s="104"/>
      <c r="IZ361" s="104"/>
      <c r="JA361" s="104"/>
    </row>
    <row r="362" spans="2:261" x14ac:dyDescent="0.2">
      <c r="B362" s="104"/>
      <c r="C362" s="104"/>
      <c r="D362" s="104"/>
      <c r="E362" s="104"/>
      <c r="F362" s="104"/>
      <c r="G362" s="104"/>
      <c r="H362" s="104"/>
      <c r="I362" s="104"/>
      <c r="J362" s="151"/>
      <c r="K362" s="104"/>
      <c r="L362" s="104"/>
      <c r="M362" s="104"/>
      <c r="N362" s="151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  <c r="BF362" s="104"/>
      <c r="BG362" s="104"/>
      <c r="BH362" s="104"/>
      <c r="BI362" s="104"/>
      <c r="BJ362" s="104"/>
      <c r="BK362" s="104"/>
      <c r="BL362" s="104"/>
      <c r="BM362" s="104"/>
      <c r="BN362" s="104"/>
      <c r="BO362" s="104"/>
      <c r="BP362" s="104"/>
      <c r="BQ362" s="104"/>
      <c r="BR362" s="104"/>
      <c r="BS362" s="104"/>
      <c r="BT362" s="104"/>
      <c r="BU362" s="104"/>
      <c r="BV362" s="104"/>
      <c r="BW362" s="104"/>
      <c r="BX362" s="104"/>
      <c r="BY362" s="104"/>
      <c r="BZ362" s="104"/>
      <c r="CA362" s="104"/>
      <c r="CB362" s="104"/>
      <c r="CC362" s="104"/>
      <c r="CD362" s="104"/>
      <c r="CE362" s="104"/>
      <c r="CF362" s="104"/>
      <c r="CG362" s="104"/>
      <c r="CH362" s="104"/>
      <c r="CI362" s="104"/>
      <c r="CJ362" s="104"/>
      <c r="CK362" s="104"/>
      <c r="CL362" s="104"/>
      <c r="CM362" s="104"/>
      <c r="CN362" s="104"/>
      <c r="CO362" s="104"/>
      <c r="CP362" s="104"/>
      <c r="CQ362" s="104"/>
      <c r="CR362" s="104"/>
      <c r="CS362" s="104"/>
      <c r="CT362" s="104"/>
      <c r="CU362" s="104"/>
      <c r="CV362" s="104"/>
      <c r="CW362" s="104"/>
      <c r="CX362" s="104"/>
      <c r="CY362" s="104"/>
      <c r="CZ362" s="104"/>
      <c r="DA362" s="104"/>
      <c r="DB362" s="104"/>
      <c r="DC362" s="104"/>
      <c r="DD362" s="104"/>
      <c r="DE362" s="104"/>
      <c r="DF362" s="104"/>
      <c r="DG362" s="104"/>
      <c r="DH362" s="104"/>
      <c r="DI362" s="104"/>
      <c r="DJ362" s="104"/>
      <c r="DK362" s="104"/>
      <c r="DL362" s="104"/>
      <c r="DM362" s="104"/>
      <c r="DN362" s="104"/>
      <c r="DO362" s="104"/>
      <c r="DP362" s="104"/>
      <c r="DQ362" s="104"/>
      <c r="DR362" s="104"/>
      <c r="DS362" s="104"/>
      <c r="DT362" s="104"/>
      <c r="DU362" s="104"/>
      <c r="DV362" s="104"/>
      <c r="DW362" s="104"/>
      <c r="DX362" s="104"/>
      <c r="DY362" s="104"/>
      <c r="DZ362" s="104"/>
      <c r="EA362" s="104"/>
      <c r="EB362" s="104"/>
      <c r="EC362" s="104"/>
      <c r="ED362" s="104"/>
      <c r="EE362" s="104"/>
      <c r="EF362" s="104"/>
      <c r="EG362" s="104"/>
      <c r="EH362" s="104"/>
      <c r="EI362" s="104"/>
      <c r="EJ362" s="104"/>
      <c r="EK362" s="104"/>
      <c r="EL362" s="104"/>
      <c r="EM362" s="104"/>
      <c r="EN362" s="104"/>
      <c r="EO362" s="104"/>
      <c r="EP362" s="104"/>
      <c r="EQ362" s="104"/>
      <c r="ER362" s="104"/>
      <c r="ES362" s="104"/>
      <c r="ET362" s="104"/>
      <c r="EU362" s="104"/>
      <c r="EV362" s="104"/>
      <c r="EW362" s="104"/>
      <c r="EX362" s="104"/>
      <c r="EY362" s="104"/>
      <c r="EZ362" s="104"/>
      <c r="FA362" s="104"/>
      <c r="FB362" s="104"/>
      <c r="FC362" s="104"/>
      <c r="FD362" s="104"/>
      <c r="FE362" s="104"/>
      <c r="FF362" s="104"/>
      <c r="FG362" s="104"/>
      <c r="FH362" s="104"/>
      <c r="FI362" s="104"/>
      <c r="FJ362" s="104"/>
      <c r="FK362" s="104"/>
      <c r="FL362" s="104"/>
      <c r="FM362" s="104"/>
      <c r="FN362" s="104"/>
      <c r="FO362" s="104"/>
      <c r="FP362" s="104"/>
      <c r="FQ362" s="104"/>
      <c r="FR362" s="104"/>
      <c r="FS362" s="104"/>
      <c r="FT362" s="104"/>
      <c r="FU362" s="104"/>
      <c r="FV362" s="104"/>
      <c r="FW362" s="104"/>
      <c r="FX362" s="104"/>
      <c r="FY362" s="104"/>
      <c r="FZ362" s="104"/>
      <c r="GA362" s="104"/>
      <c r="GB362" s="104"/>
      <c r="GC362" s="104"/>
      <c r="GD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  <c r="HA362" s="104"/>
      <c r="HB362" s="104"/>
      <c r="HC362" s="104"/>
      <c r="HD362" s="104"/>
      <c r="HE362" s="104"/>
      <c r="HF362" s="104"/>
      <c r="HG362" s="104"/>
      <c r="HH362" s="104"/>
      <c r="HI362" s="104"/>
      <c r="HJ362" s="104"/>
      <c r="HK362" s="104"/>
      <c r="HL362" s="104"/>
      <c r="HM362" s="104"/>
      <c r="HN362" s="104"/>
      <c r="HO362" s="104"/>
      <c r="HP362" s="104"/>
      <c r="HQ362" s="104"/>
      <c r="HR362" s="104"/>
      <c r="HS362" s="104"/>
      <c r="HT362" s="104"/>
      <c r="HU362" s="104"/>
      <c r="HV362" s="104"/>
      <c r="HW362" s="104"/>
      <c r="HX362" s="104"/>
      <c r="HY362" s="104"/>
      <c r="HZ362" s="104"/>
      <c r="IA362" s="104"/>
      <c r="IB362" s="104"/>
      <c r="IC362" s="104"/>
      <c r="ID362" s="104"/>
      <c r="IE362" s="104"/>
      <c r="IF362" s="104"/>
      <c r="IG362" s="104"/>
      <c r="IH362" s="104"/>
      <c r="II362" s="104"/>
      <c r="IJ362" s="104"/>
      <c r="IK362" s="104"/>
      <c r="IL362" s="104"/>
      <c r="IM362" s="104"/>
      <c r="IN362" s="104"/>
      <c r="IO362" s="104"/>
      <c r="IP362" s="104"/>
      <c r="IQ362" s="104"/>
      <c r="IR362" s="104"/>
      <c r="IS362" s="104"/>
      <c r="IT362" s="104"/>
      <c r="IU362" s="104"/>
      <c r="IV362" s="104"/>
      <c r="IW362" s="104"/>
      <c r="IX362" s="104"/>
      <c r="IY362" s="104"/>
      <c r="IZ362" s="104"/>
      <c r="JA362" s="104"/>
    </row>
    <row r="363" spans="2:261" x14ac:dyDescent="0.2">
      <c r="B363" s="104"/>
      <c r="C363" s="104"/>
      <c r="D363" s="104"/>
      <c r="E363" s="104"/>
      <c r="F363" s="104"/>
      <c r="G363" s="104"/>
      <c r="H363" s="104"/>
      <c r="I363" s="104"/>
      <c r="J363" s="151"/>
      <c r="K363" s="104"/>
      <c r="L363" s="104"/>
      <c r="M363" s="104"/>
      <c r="N363" s="151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/>
      <c r="BK363" s="104"/>
      <c r="BL363" s="104"/>
      <c r="BM363" s="104"/>
      <c r="BN363" s="104"/>
      <c r="BO363" s="104"/>
      <c r="BP363" s="104"/>
      <c r="BQ363" s="104"/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4"/>
      <c r="CB363" s="104"/>
      <c r="CC363" s="104"/>
      <c r="CD363" s="104"/>
      <c r="CE363" s="104"/>
      <c r="CF363" s="104"/>
      <c r="CG363" s="104"/>
      <c r="CH363" s="104"/>
      <c r="CI363" s="104"/>
      <c r="CJ363" s="104"/>
      <c r="CK363" s="104"/>
      <c r="CL363" s="104"/>
      <c r="CM363" s="104"/>
      <c r="CN363" s="104"/>
      <c r="CO363" s="104"/>
      <c r="CP363" s="104"/>
      <c r="CQ363" s="104"/>
      <c r="CR363" s="104"/>
      <c r="CS363" s="104"/>
      <c r="CT363" s="104"/>
      <c r="CU363" s="104"/>
      <c r="CV363" s="104"/>
      <c r="CW363" s="104"/>
      <c r="CX363" s="104"/>
      <c r="CY363" s="104"/>
      <c r="CZ363" s="104"/>
      <c r="DA363" s="104"/>
      <c r="DB363" s="104"/>
      <c r="DC363" s="104"/>
      <c r="DD363" s="104"/>
      <c r="DE363" s="104"/>
      <c r="DF363" s="104"/>
      <c r="DG363" s="104"/>
      <c r="DH363" s="104"/>
      <c r="DI363" s="104"/>
      <c r="DJ363" s="104"/>
      <c r="DK363" s="104"/>
      <c r="DL363" s="104"/>
      <c r="DM363" s="104"/>
      <c r="DN363" s="104"/>
      <c r="DO363" s="104"/>
      <c r="DP363" s="104"/>
      <c r="DQ363" s="104"/>
      <c r="DR363" s="104"/>
      <c r="DS363" s="104"/>
      <c r="DT363" s="104"/>
      <c r="DU363" s="104"/>
      <c r="DV363" s="104"/>
      <c r="DW363" s="104"/>
      <c r="DX363" s="104"/>
      <c r="DY363" s="104"/>
      <c r="DZ363" s="104"/>
      <c r="EA363" s="104"/>
      <c r="EB363" s="104"/>
      <c r="EC363" s="104"/>
      <c r="ED363" s="104"/>
      <c r="EE363" s="104"/>
      <c r="EF363" s="104"/>
      <c r="EG363" s="104"/>
      <c r="EH363" s="104"/>
      <c r="EI363" s="104"/>
      <c r="EJ363" s="104"/>
      <c r="EK363" s="104"/>
      <c r="EL363" s="104"/>
      <c r="EM363" s="104"/>
      <c r="EN363" s="104"/>
      <c r="EO363" s="104"/>
      <c r="EP363" s="104"/>
      <c r="EQ363" s="104"/>
      <c r="ER363" s="104"/>
      <c r="ES363" s="104"/>
      <c r="ET363" s="104"/>
      <c r="EU363" s="104"/>
      <c r="EV363" s="104"/>
      <c r="EW363" s="104"/>
      <c r="EX363" s="104"/>
      <c r="EY363" s="104"/>
      <c r="EZ363" s="104"/>
      <c r="FA363" s="104"/>
      <c r="FB363" s="104"/>
      <c r="FC363" s="104"/>
      <c r="FD363" s="104"/>
      <c r="FE363" s="104"/>
      <c r="FF363" s="104"/>
      <c r="FG363" s="104"/>
      <c r="FH363" s="104"/>
      <c r="FI363" s="104"/>
      <c r="FJ363" s="104"/>
      <c r="FK363" s="104"/>
      <c r="FL363" s="104"/>
      <c r="FM363" s="104"/>
      <c r="FN363" s="104"/>
      <c r="FO363" s="104"/>
      <c r="FP363" s="104"/>
      <c r="FQ363" s="104"/>
      <c r="FR363" s="104"/>
      <c r="FS363" s="104"/>
      <c r="FT363" s="104"/>
      <c r="FU363" s="104"/>
      <c r="FV363" s="104"/>
      <c r="FW363" s="104"/>
      <c r="FX363" s="104"/>
      <c r="FY363" s="104"/>
      <c r="FZ363" s="104"/>
      <c r="GA363" s="104"/>
      <c r="GB363" s="104"/>
      <c r="GC363" s="104"/>
      <c r="GD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  <c r="HA363" s="104"/>
      <c r="HB363" s="104"/>
      <c r="HC363" s="104"/>
      <c r="HD363" s="104"/>
      <c r="HE363" s="104"/>
      <c r="HF363" s="104"/>
      <c r="HG363" s="104"/>
      <c r="HH363" s="104"/>
      <c r="HI363" s="104"/>
      <c r="HJ363" s="104"/>
      <c r="HK363" s="104"/>
      <c r="HL363" s="104"/>
      <c r="HM363" s="104"/>
      <c r="HN363" s="104"/>
      <c r="HO363" s="104"/>
      <c r="HP363" s="104"/>
      <c r="HQ363" s="104"/>
      <c r="HR363" s="104"/>
      <c r="HS363" s="104"/>
      <c r="HT363" s="104"/>
      <c r="HU363" s="104"/>
      <c r="HV363" s="104"/>
      <c r="HW363" s="104"/>
      <c r="HX363" s="104"/>
      <c r="HY363" s="104"/>
      <c r="HZ363" s="104"/>
      <c r="IA363" s="104"/>
      <c r="IB363" s="104"/>
      <c r="IC363" s="104"/>
      <c r="ID363" s="104"/>
      <c r="IE363" s="104"/>
      <c r="IF363" s="104"/>
      <c r="IG363" s="104"/>
      <c r="IH363" s="104"/>
      <c r="II363" s="104"/>
      <c r="IJ363" s="104"/>
      <c r="IK363" s="104"/>
      <c r="IL363" s="104"/>
      <c r="IM363" s="104"/>
      <c r="IN363" s="104"/>
      <c r="IO363" s="104"/>
      <c r="IP363" s="104"/>
      <c r="IQ363" s="104"/>
      <c r="IR363" s="104"/>
      <c r="IS363" s="104"/>
      <c r="IT363" s="104"/>
      <c r="IU363" s="104"/>
      <c r="IV363" s="104"/>
      <c r="IW363" s="104"/>
      <c r="IX363" s="104"/>
      <c r="IY363" s="104"/>
      <c r="IZ363" s="104"/>
      <c r="JA363" s="104"/>
    </row>
    <row r="364" spans="2:261" x14ac:dyDescent="0.2">
      <c r="B364" s="104"/>
      <c r="C364" s="104"/>
      <c r="D364" s="104"/>
      <c r="E364" s="104"/>
      <c r="F364" s="104"/>
      <c r="G364" s="104"/>
      <c r="H364" s="104"/>
      <c r="I364" s="104"/>
      <c r="J364" s="151"/>
      <c r="K364" s="104"/>
      <c r="L364" s="104"/>
      <c r="M364" s="104"/>
      <c r="N364" s="151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  <c r="BK364" s="104"/>
      <c r="BL364" s="104"/>
      <c r="BM364" s="104"/>
      <c r="BN364" s="104"/>
      <c r="BO364" s="104"/>
      <c r="BP364" s="104"/>
      <c r="BQ364" s="104"/>
      <c r="BR364" s="104"/>
      <c r="BS364" s="104"/>
      <c r="BT364" s="104"/>
      <c r="BU364" s="104"/>
      <c r="BV364" s="104"/>
      <c r="BW364" s="104"/>
      <c r="BX364" s="104"/>
      <c r="BY364" s="104"/>
      <c r="BZ364" s="104"/>
      <c r="CA364" s="104"/>
      <c r="CB364" s="104"/>
      <c r="CC364" s="104"/>
      <c r="CD364" s="104"/>
      <c r="CE364" s="104"/>
      <c r="CF364" s="104"/>
      <c r="CG364" s="104"/>
      <c r="CH364" s="104"/>
      <c r="CI364" s="104"/>
      <c r="CJ364" s="104"/>
      <c r="CK364" s="104"/>
      <c r="CL364" s="104"/>
      <c r="CM364" s="104"/>
      <c r="CN364" s="104"/>
      <c r="CO364" s="104"/>
      <c r="CP364" s="104"/>
      <c r="CQ364" s="104"/>
      <c r="CR364" s="104"/>
      <c r="CS364" s="104"/>
      <c r="CT364" s="104"/>
      <c r="CU364" s="104"/>
      <c r="CV364" s="104"/>
      <c r="CW364" s="104"/>
      <c r="CX364" s="104"/>
      <c r="CY364" s="104"/>
      <c r="CZ364" s="104"/>
      <c r="DA364" s="104"/>
      <c r="DB364" s="104"/>
      <c r="DC364" s="104"/>
      <c r="DD364" s="104"/>
      <c r="DE364" s="104"/>
      <c r="DF364" s="104"/>
      <c r="DG364" s="104"/>
      <c r="DH364" s="104"/>
      <c r="DI364" s="104"/>
      <c r="DJ364" s="104"/>
      <c r="DK364" s="104"/>
      <c r="DL364" s="104"/>
      <c r="DM364" s="104"/>
      <c r="DN364" s="104"/>
      <c r="DO364" s="104"/>
      <c r="DP364" s="104"/>
      <c r="DQ364" s="104"/>
      <c r="DR364" s="104"/>
      <c r="DS364" s="104"/>
      <c r="DT364" s="104"/>
      <c r="DU364" s="104"/>
      <c r="DV364" s="104"/>
      <c r="DW364" s="104"/>
      <c r="DX364" s="104"/>
      <c r="DY364" s="104"/>
      <c r="DZ364" s="104"/>
      <c r="EA364" s="104"/>
      <c r="EB364" s="104"/>
      <c r="EC364" s="104"/>
      <c r="ED364" s="104"/>
      <c r="EE364" s="104"/>
      <c r="EF364" s="104"/>
      <c r="EG364" s="104"/>
      <c r="EH364" s="104"/>
      <c r="EI364" s="104"/>
      <c r="EJ364" s="104"/>
      <c r="EK364" s="104"/>
      <c r="EL364" s="104"/>
      <c r="EM364" s="104"/>
      <c r="EN364" s="104"/>
      <c r="EO364" s="104"/>
      <c r="EP364" s="104"/>
      <c r="EQ364" s="104"/>
      <c r="ER364" s="104"/>
      <c r="ES364" s="104"/>
      <c r="ET364" s="104"/>
      <c r="EU364" s="104"/>
      <c r="EV364" s="104"/>
      <c r="EW364" s="104"/>
      <c r="EX364" s="104"/>
      <c r="EY364" s="104"/>
      <c r="EZ364" s="104"/>
      <c r="FA364" s="104"/>
      <c r="FB364" s="104"/>
      <c r="FC364" s="104"/>
      <c r="FD364" s="104"/>
      <c r="FE364" s="104"/>
      <c r="FF364" s="104"/>
      <c r="FG364" s="104"/>
      <c r="FH364" s="104"/>
      <c r="FI364" s="104"/>
      <c r="FJ364" s="104"/>
      <c r="FK364" s="104"/>
      <c r="FL364" s="104"/>
      <c r="FM364" s="104"/>
      <c r="FN364" s="104"/>
      <c r="FO364" s="104"/>
      <c r="FP364" s="104"/>
      <c r="FQ364" s="104"/>
      <c r="FR364" s="104"/>
      <c r="FS364" s="104"/>
      <c r="FT364" s="104"/>
      <c r="FU364" s="104"/>
      <c r="FV364" s="104"/>
      <c r="FW364" s="104"/>
      <c r="FX364" s="104"/>
      <c r="FY364" s="104"/>
      <c r="FZ364" s="104"/>
      <c r="GA364" s="104"/>
      <c r="GB364" s="104"/>
      <c r="GC364" s="104"/>
      <c r="GD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  <c r="HA364" s="104"/>
      <c r="HB364" s="104"/>
      <c r="HC364" s="104"/>
      <c r="HD364" s="104"/>
      <c r="HE364" s="104"/>
      <c r="HF364" s="104"/>
      <c r="HG364" s="104"/>
      <c r="HH364" s="104"/>
      <c r="HI364" s="104"/>
      <c r="HJ364" s="104"/>
      <c r="HK364" s="104"/>
      <c r="HL364" s="104"/>
      <c r="HM364" s="104"/>
      <c r="HN364" s="104"/>
      <c r="HO364" s="104"/>
      <c r="HP364" s="104"/>
      <c r="HQ364" s="104"/>
      <c r="HR364" s="104"/>
      <c r="HS364" s="104"/>
      <c r="HT364" s="104"/>
      <c r="HU364" s="104"/>
      <c r="HV364" s="104"/>
      <c r="HW364" s="104"/>
      <c r="HX364" s="104"/>
      <c r="HY364" s="104"/>
      <c r="HZ364" s="104"/>
      <c r="IA364" s="104"/>
      <c r="IB364" s="104"/>
      <c r="IC364" s="104"/>
      <c r="ID364" s="104"/>
      <c r="IE364" s="104"/>
      <c r="IF364" s="104"/>
      <c r="IG364" s="104"/>
      <c r="IH364" s="104"/>
      <c r="II364" s="104"/>
      <c r="IJ364" s="104"/>
      <c r="IK364" s="104"/>
      <c r="IL364" s="104"/>
      <c r="IM364" s="104"/>
      <c r="IN364" s="104"/>
      <c r="IO364" s="104"/>
      <c r="IP364" s="104"/>
      <c r="IQ364" s="104"/>
      <c r="IR364" s="104"/>
      <c r="IS364" s="104"/>
      <c r="IT364" s="104"/>
      <c r="IU364" s="104"/>
      <c r="IV364" s="104"/>
      <c r="IW364" s="104"/>
      <c r="IX364" s="104"/>
      <c r="IY364" s="104"/>
      <c r="IZ364" s="104"/>
      <c r="JA364" s="104"/>
    </row>
    <row r="365" spans="2:261" x14ac:dyDescent="0.2">
      <c r="BI365" s="104"/>
      <c r="BJ365" s="104"/>
      <c r="BK365" s="104"/>
      <c r="BL365" s="104"/>
      <c r="BM365" s="104"/>
      <c r="BN365" s="104"/>
      <c r="BO365" s="104"/>
      <c r="BP365" s="104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104"/>
      <c r="CA365" s="104"/>
      <c r="CB365" s="104"/>
      <c r="CC365" s="104"/>
      <c r="CD365" s="104"/>
      <c r="CE365" s="104"/>
      <c r="CF365" s="104"/>
      <c r="CG365" s="104"/>
      <c r="CH365" s="104"/>
      <c r="CI365" s="104"/>
      <c r="CJ365" s="104"/>
      <c r="CK365" s="104"/>
      <c r="CL365" s="104"/>
      <c r="CM365" s="104"/>
      <c r="CN365" s="104"/>
      <c r="CO365" s="104"/>
      <c r="CP365" s="104"/>
      <c r="CQ365" s="104"/>
      <c r="CR365" s="104"/>
      <c r="CS365" s="104"/>
      <c r="CT365" s="104"/>
      <c r="CU365" s="104"/>
      <c r="CV365" s="104"/>
      <c r="CW365" s="104"/>
      <c r="CX365" s="104"/>
      <c r="CY365" s="104"/>
      <c r="CZ365" s="104"/>
      <c r="DA365" s="104"/>
      <c r="DB365" s="104"/>
      <c r="DC365" s="104"/>
      <c r="DD365" s="104"/>
      <c r="DE365" s="104"/>
      <c r="DF365" s="104"/>
      <c r="DG365" s="104"/>
      <c r="DH365" s="104"/>
      <c r="DI365" s="104"/>
      <c r="DJ365" s="104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104"/>
      <c r="DV365" s="104"/>
      <c r="DW365" s="104"/>
      <c r="DX365" s="104"/>
      <c r="DY365" s="104"/>
      <c r="DZ365" s="104"/>
      <c r="EA365" s="104"/>
      <c r="EB365" s="104"/>
      <c r="EC365" s="104"/>
      <c r="ED365" s="104"/>
      <c r="EE365" s="104"/>
      <c r="EF365" s="104"/>
      <c r="EG365" s="104"/>
      <c r="EH365" s="104"/>
      <c r="EI365" s="104"/>
      <c r="EJ365" s="104"/>
      <c r="EK365" s="104"/>
      <c r="EL365" s="104"/>
      <c r="EM365" s="104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04"/>
      <c r="EZ365" s="104"/>
      <c r="FA365" s="104"/>
      <c r="FB365" s="104"/>
      <c r="FC365" s="104"/>
      <c r="FD365" s="104"/>
      <c r="FE365" s="104"/>
      <c r="FF365" s="104"/>
      <c r="FG365" s="104"/>
      <c r="FH365" s="104"/>
      <c r="FI365" s="104"/>
      <c r="FJ365" s="104"/>
      <c r="FK365" s="104"/>
      <c r="FL365" s="104"/>
      <c r="FM365" s="104"/>
      <c r="FN365" s="104"/>
      <c r="FO365" s="104"/>
      <c r="FP365" s="104"/>
      <c r="FQ365" s="104"/>
      <c r="FR365" s="104"/>
      <c r="FS365" s="104"/>
      <c r="FT365" s="104"/>
      <c r="FU365" s="104"/>
      <c r="FV365" s="104"/>
      <c r="FW365" s="104"/>
      <c r="FX365" s="104"/>
      <c r="FY365" s="104"/>
      <c r="FZ365" s="104"/>
      <c r="GA365" s="104"/>
      <c r="GB365" s="104"/>
      <c r="GC365" s="104"/>
      <c r="GD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  <c r="HA365" s="104"/>
      <c r="HB365" s="104"/>
      <c r="HC365" s="104"/>
      <c r="HD365" s="104"/>
      <c r="HE365" s="104"/>
      <c r="HF365" s="104"/>
      <c r="HG365" s="104"/>
      <c r="HH365" s="104"/>
      <c r="HI365" s="104"/>
      <c r="HJ365" s="104"/>
      <c r="HK365" s="104"/>
      <c r="HL365" s="104"/>
      <c r="HM365" s="104"/>
      <c r="HN365" s="104"/>
      <c r="HO365" s="104"/>
      <c r="HP365" s="104"/>
      <c r="HQ365" s="104"/>
      <c r="HR365" s="104"/>
      <c r="HS365" s="104"/>
      <c r="HT365" s="104"/>
      <c r="HU365" s="104"/>
      <c r="HV365" s="104"/>
      <c r="HW365" s="104"/>
      <c r="HX365" s="104"/>
      <c r="HY365" s="104"/>
      <c r="HZ365" s="104"/>
      <c r="IA365" s="104"/>
      <c r="IB365" s="104"/>
      <c r="IC365" s="104"/>
      <c r="ID365" s="104"/>
      <c r="IE365" s="104"/>
      <c r="IF365" s="104"/>
      <c r="IG365" s="104"/>
      <c r="IH365" s="104"/>
      <c r="II365" s="104"/>
      <c r="IJ365" s="104"/>
      <c r="IK365" s="104"/>
      <c r="IL365" s="104"/>
      <c r="IM365" s="104"/>
      <c r="IN365" s="104"/>
      <c r="IO365" s="104"/>
      <c r="IP365" s="104"/>
      <c r="IQ365" s="104"/>
      <c r="IR365" s="104"/>
      <c r="IS365" s="104"/>
      <c r="IT365" s="104"/>
      <c r="IU365" s="104"/>
      <c r="IV365" s="104"/>
      <c r="IW365" s="104"/>
      <c r="IX365" s="104"/>
      <c r="IY365" s="104"/>
      <c r="IZ365" s="104"/>
      <c r="JA365" s="104"/>
    </row>
    <row r="366" spans="2:261" x14ac:dyDescent="0.2">
      <c r="BI366" s="104"/>
      <c r="BJ366" s="104"/>
      <c r="BK366" s="104"/>
      <c r="BL366" s="104"/>
      <c r="BM366" s="104"/>
      <c r="BN366" s="104"/>
      <c r="BO366" s="104"/>
      <c r="BP366" s="104"/>
      <c r="BQ366" s="104"/>
      <c r="BR366" s="104"/>
      <c r="BS366" s="104"/>
      <c r="BT366" s="104"/>
      <c r="BU366" s="104"/>
      <c r="BV366" s="104"/>
      <c r="BW366" s="104"/>
      <c r="BX366" s="104"/>
      <c r="BY366" s="104"/>
      <c r="BZ366" s="104"/>
      <c r="CA366" s="104"/>
      <c r="CB366" s="104"/>
      <c r="CC366" s="104"/>
      <c r="CD366" s="104"/>
      <c r="CE366" s="104"/>
      <c r="CF366" s="104"/>
      <c r="CG366" s="104"/>
      <c r="CH366" s="104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104"/>
      <c r="CT366" s="104"/>
      <c r="CU366" s="104"/>
      <c r="CV366" s="104"/>
      <c r="CW366" s="104"/>
      <c r="CX366" s="104"/>
      <c r="CY366" s="104"/>
      <c r="CZ366" s="104"/>
      <c r="DA366" s="104"/>
      <c r="DB366" s="104"/>
      <c r="DC366" s="104"/>
      <c r="DD366" s="104"/>
      <c r="DE366" s="104"/>
      <c r="DF366" s="104"/>
      <c r="DG366" s="104"/>
      <c r="DH366" s="104"/>
      <c r="DI366" s="104"/>
      <c r="DJ366" s="104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104"/>
      <c r="DV366" s="104"/>
      <c r="DW366" s="104"/>
      <c r="DX366" s="104"/>
      <c r="DY366" s="104"/>
      <c r="DZ366" s="104"/>
      <c r="EA366" s="104"/>
      <c r="EB366" s="104"/>
      <c r="EC366" s="104"/>
      <c r="ED366" s="104"/>
      <c r="EE366" s="104"/>
      <c r="EF366" s="104"/>
      <c r="EG366" s="104"/>
      <c r="EH366" s="104"/>
      <c r="EI366" s="104"/>
      <c r="EJ366" s="104"/>
      <c r="EK366" s="104"/>
      <c r="EL366" s="104"/>
      <c r="EM366" s="104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04"/>
      <c r="EZ366" s="104"/>
      <c r="FA366" s="104"/>
      <c r="FB366" s="104"/>
      <c r="FC366" s="104"/>
      <c r="FD366" s="104"/>
      <c r="FE366" s="104"/>
      <c r="FF366" s="104"/>
      <c r="FG366" s="104"/>
      <c r="FH366" s="104"/>
      <c r="FI366" s="104"/>
      <c r="FJ366" s="104"/>
      <c r="FK366" s="104"/>
      <c r="FL366" s="104"/>
      <c r="FM366" s="104"/>
      <c r="FN366" s="104"/>
      <c r="FO366" s="104"/>
      <c r="FP366" s="104"/>
      <c r="FQ366" s="104"/>
      <c r="FR366" s="104"/>
      <c r="FS366" s="104"/>
      <c r="FT366" s="104"/>
      <c r="FU366" s="104"/>
      <c r="FV366" s="104"/>
      <c r="FW366" s="104"/>
      <c r="FX366" s="104"/>
      <c r="FY366" s="104"/>
      <c r="FZ366" s="104"/>
      <c r="GA366" s="104"/>
      <c r="GB366" s="104"/>
      <c r="GC366" s="104"/>
      <c r="GD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  <c r="HA366" s="104"/>
      <c r="HB366" s="104"/>
      <c r="HC366" s="104"/>
      <c r="HD366" s="104"/>
      <c r="HE366" s="104"/>
      <c r="HF366" s="104"/>
      <c r="HG366" s="104"/>
      <c r="HH366" s="104"/>
      <c r="HI366" s="104"/>
      <c r="HJ366" s="104"/>
      <c r="HK366" s="104"/>
      <c r="HL366" s="104"/>
      <c r="HM366" s="104"/>
      <c r="HN366" s="104"/>
      <c r="HO366" s="104"/>
      <c r="HP366" s="104"/>
      <c r="HQ366" s="104"/>
      <c r="HR366" s="104"/>
      <c r="HS366" s="104"/>
      <c r="HT366" s="104"/>
      <c r="HU366" s="104"/>
      <c r="HV366" s="104"/>
      <c r="HW366" s="104"/>
      <c r="HX366" s="104"/>
      <c r="HY366" s="104"/>
      <c r="HZ366" s="104"/>
      <c r="IA366" s="104"/>
      <c r="IB366" s="104"/>
      <c r="IC366" s="104"/>
      <c r="ID366" s="104"/>
      <c r="IE366" s="104"/>
      <c r="IF366" s="104"/>
      <c r="IG366" s="104"/>
      <c r="IH366" s="104"/>
      <c r="II366" s="104"/>
      <c r="IJ366" s="104"/>
      <c r="IK366" s="104"/>
      <c r="IL366" s="104"/>
      <c r="IM366" s="104"/>
      <c r="IN366" s="104"/>
      <c r="IO366" s="104"/>
      <c r="IP366" s="104"/>
      <c r="IQ366" s="104"/>
      <c r="IR366" s="104"/>
      <c r="IS366" s="104"/>
      <c r="IT366" s="104"/>
      <c r="IU366" s="104"/>
      <c r="IV366" s="104"/>
      <c r="IW366" s="104"/>
      <c r="IX366" s="104"/>
      <c r="IY366" s="104"/>
      <c r="IZ366" s="104"/>
      <c r="JA366" s="104"/>
    </row>
    <row r="367" spans="2:261" x14ac:dyDescent="0.2">
      <c r="BI367" s="104"/>
      <c r="BJ367" s="104"/>
      <c r="BK367" s="104"/>
      <c r="BL367" s="104"/>
      <c r="BM367" s="104"/>
      <c r="BN367" s="104"/>
      <c r="BO367" s="104"/>
      <c r="BP367" s="104"/>
      <c r="BQ367" s="104"/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4"/>
      <c r="CB367" s="104"/>
      <c r="CC367" s="104"/>
      <c r="CD367" s="104"/>
      <c r="CE367" s="104"/>
      <c r="CF367" s="104"/>
      <c r="CG367" s="104"/>
      <c r="CH367" s="104"/>
      <c r="CI367" s="104"/>
      <c r="CJ367" s="104"/>
      <c r="CK367" s="104"/>
      <c r="CL367" s="104"/>
      <c r="CM367" s="104"/>
      <c r="CN367" s="104"/>
      <c r="CO367" s="104"/>
      <c r="CP367" s="104"/>
      <c r="CQ367" s="104"/>
      <c r="CR367" s="104"/>
      <c r="CS367" s="104"/>
      <c r="CT367" s="104"/>
      <c r="CU367" s="104"/>
      <c r="CV367" s="104"/>
      <c r="CW367" s="104"/>
      <c r="CX367" s="104"/>
      <c r="CY367" s="104"/>
      <c r="CZ367" s="104"/>
      <c r="DA367" s="104"/>
      <c r="DB367" s="104"/>
      <c r="DC367" s="104"/>
      <c r="DD367" s="104"/>
      <c r="DE367" s="104"/>
      <c r="DF367" s="104"/>
      <c r="DG367" s="104"/>
      <c r="DH367" s="104"/>
      <c r="DI367" s="104"/>
      <c r="DJ367" s="104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104"/>
      <c r="DV367" s="104"/>
      <c r="DW367" s="104"/>
      <c r="DX367" s="104"/>
      <c r="DY367" s="104"/>
      <c r="DZ367" s="104"/>
      <c r="EA367" s="104"/>
      <c r="EB367" s="104"/>
      <c r="EC367" s="104"/>
      <c r="ED367" s="104"/>
      <c r="EE367" s="104"/>
      <c r="EF367" s="104"/>
      <c r="EG367" s="104"/>
      <c r="EH367" s="104"/>
      <c r="EI367" s="104"/>
      <c r="EJ367" s="104"/>
      <c r="EK367" s="104"/>
      <c r="EL367" s="104"/>
      <c r="EM367" s="104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4"/>
      <c r="FA367" s="104"/>
      <c r="FB367" s="104"/>
      <c r="FC367" s="104"/>
      <c r="FD367" s="104"/>
      <c r="FE367" s="104"/>
      <c r="FF367" s="104"/>
      <c r="FG367" s="104"/>
      <c r="FH367" s="104"/>
      <c r="FI367" s="104"/>
      <c r="FJ367" s="104"/>
      <c r="FK367" s="104"/>
      <c r="FL367" s="104"/>
      <c r="FM367" s="104"/>
      <c r="FN367" s="104"/>
      <c r="FO367" s="104"/>
      <c r="FP367" s="104"/>
      <c r="FQ367" s="104"/>
      <c r="FR367" s="104"/>
      <c r="FS367" s="104"/>
      <c r="FT367" s="104"/>
      <c r="FU367" s="104"/>
      <c r="FV367" s="104"/>
      <c r="FW367" s="104"/>
      <c r="FX367" s="104"/>
      <c r="FY367" s="104"/>
      <c r="FZ367" s="104"/>
      <c r="GA367" s="104"/>
      <c r="GB367" s="104"/>
      <c r="GC367" s="104"/>
      <c r="GD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  <c r="HA367" s="104"/>
      <c r="HB367" s="104"/>
      <c r="HC367" s="104"/>
      <c r="HD367" s="104"/>
      <c r="HE367" s="104"/>
      <c r="HF367" s="104"/>
      <c r="HG367" s="104"/>
      <c r="HH367" s="104"/>
      <c r="HI367" s="104"/>
      <c r="HJ367" s="104"/>
      <c r="HK367" s="104"/>
      <c r="HL367" s="104"/>
      <c r="HM367" s="104"/>
      <c r="HN367" s="104"/>
      <c r="HO367" s="104"/>
      <c r="HP367" s="104"/>
      <c r="HQ367" s="104"/>
      <c r="HR367" s="104"/>
      <c r="HS367" s="104"/>
      <c r="HT367" s="104"/>
      <c r="HU367" s="104"/>
      <c r="HV367" s="104"/>
      <c r="HW367" s="104"/>
      <c r="HX367" s="104"/>
      <c r="HY367" s="104"/>
      <c r="HZ367" s="104"/>
      <c r="IA367" s="104"/>
      <c r="IB367" s="104"/>
      <c r="IC367" s="104"/>
      <c r="ID367" s="104"/>
      <c r="IE367" s="104"/>
      <c r="IF367" s="104"/>
      <c r="IG367" s="104"/>
      <c r="IH367" s="104"/>
      <c r="II367" s="104"/>
      <c r="IJ367" s="104"/>
      <c r="IK367" s="104"/>
      <c r="IL367" s="104"/>
      <c r="IM367" s="104"/>
      <c r="IN367" s="104"/>
      <c r="IO367" s="104"/>
      <c r="IP367" s="104"/>
      <c r="IQ367" s="104"/>
      <c r="IR367" s="104"/>
      <c r="IS367" s="104"/>
      <c r="IT367" s="104"/>
      <c r="IU367" s="104"/>
      <c r="IV367" s="104"/>
      <c r="IW367" s="104"/>
      <c r="IX367" s="104"/>
      <c r="IY367" s="104"/>
      <c r="IZ367" s="104"/>
      <c r="JA367" s="104"/>
    </row>
    <row r="368" spans="2:261" x14ac:dyDescent="0.2">
      <c r="BI368" s="104"/>
      <c r="BJ368" s="104"/>
      <c r="BK368" s="104"/>
      <c r="BL368" s="104"/>
      <c r="BM368" s="104"/>
      <c r="BN368" s="104"/>
      <c r="BO368" s="104"/>
      <c r="BP368" s="104"/>
      <c r="BQ368" s="104"/>
      <c r="BR368" s="104"/>
      <c r="BS368" s="104"/>
      <c r="BT368" s="104"/>
      <c r="BU368" s="104"/>
      <c r="BV368" s="104"/>
      <c r="BW368" s="104"/>
      <c r="BX368" s="104"/>
      <c r="BY368" s="104"/>
      <c r="BZ368" s="104"/>
      <c r="CA368" s="104"/>
      <c r="CB368" s="104"/>
      <c r="CC368" s="104"/>
      <c r="CD368" s="104"/>
      <c r="CE368" s="104"/>
      <c r="CF368" s="104"/>
      <c r="CG368" s="104"/>
      <c r="CH368" s="104"/>
      <c r="CI368" s="104"/>
      <c r="CJ368" s="104"/>
      <c r="CK368" s="104"/>
      <c r="CL368" s="104"/>
      <c r="CM368" s="104"/>
      <c r="CN368" s="104"/>
      <c r="CO368" s="104"/>
      <c r="CP368" s="104"/>
      <c r="CQ368" s="104"/>
      <c r="CR368" s="104"/>
      <c r="CS368" s="104"/>
      <c r="CT368" s="104"/>
      <c r="CU368" s="104"/>
      <c r="CV368" s="104"/>
      <c r="CW368" s="104"/>
      <c r="CX368" s="104"/>
      <c r="CY368" s="104"/>
      <c r="CZ368" s="104"/>
      <c r="DA368" s="104"/>
      <c r="DB368" s="104"/>
      <c r="DC368" s="104"/>
      <c r="DD368" s="104"/>
      <c r="DE368" s="104"/>
      <c r="DF368" s="104"/>
      <c r="DG368" s="104"/>
      <c r="DH368" s="104"/>
      <c r="DI368" s="104"/>
      <c r="DJ368" s="104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104"/>
      <c r="DV368" s="104"/>
      <c r="DW368" s="104"/>
      <c r="DX368" s="104"/>
      <c r="DY368" s="104"/>
      <c r="DZ368" s="104"/>
      <c r="EA368" s="104"/>
      <c r="EB368" s="104"/>
      <c r="EC368" s="104"/>
      <c r="ED368" s="104"/>
      <c r="EE368" s="104"/>
      <c r="EF368" s="104"/>
      <c r="EG368" s="104"/>
      <c r="EH368" s="104"/>
      <c r="EI368" s="104"/>
      <c r="EJ368" s="104"/>
      <c r="EK368" s="104"/>
      <c r="EL368" s="104"/>
      <c r="EM368" s="104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04"/>
      <c r="EZ368" s="104"/>
      <c r="FA368" s="104"/>
      <c r="FB368" s="104"/>
      <c r="FC368" s="104"/>
      <c r="FD368" s="104"/>
      <c r="FE368" s="104"/>
      <c r="FF368" s="104"/>
      <c r="FG368" s="104"/>
      <c r="FH368" s="104"/>
      <c r="FI368" s="104"/>
      <c r="FJ368" s="104"/>
      <c r="FK368" s="104"/>
      <c r="FL368" s="104"/>
      <c r="FM368" s="104"/>
      <c r="FN368" s="104"/>
      <c r="FO368" s="104"/>
      <c r="FP368" s="104"/>
      <c r="FQ368" s="104"/>
      <c r="FR368" s="104"/>
      <c r="FS368" s="104"/>
      <c r="FT368" s="104"/>
      <c r="FU368" s="104"/>
      <c r="FV368" s="104"/>
      <c r="FW368" s="104"/>
      <c r="FX368" s="104"/>
      <c r="FY368" s="104"/>
      <c r="FZ368" s="104"/>
      <c r="GA368" s="104"/>
      <c r="GB368" s="104"/>
      <c r="GC368" s="104"/>
      <c r="GD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  <c r="HA368" s="104"/>
      <c r="HB368" s="104"/>
      <c r="HC368" s="104"/>
      <c r="HD368" s="104"/>
      <c r="HE368" s="104"/>
      <c r="HF368" s="104"/>
      <c r="HG368" s="104"/>
      <c r="HH368" s="104"/>
      <c r="HI368" s="104"/>
      <c r="HJ368" s="104"/>
      <c r="HK368" s="104"/>
      <c r="HL368" s="104"/>
      <c r="HM368" s="104"/>
      <c r="HN368" s="104"/>
      <c r="HO368" s="104"/>
      <c r="HP368" s="104"/>
      <c r="HQ368" s="104"/>
      <c r="HR368" s="104"/>
      <c r="HS368" s="104"/>
      <c r="HT368" s="104"/>
      <c r="HU368" s="104"/>
      <c r="HV368" s="104"/>
      <c r="HW368" s="104"/>
      <c r="HX368" s="104"/>
      <c r="HY368" s="104"/>
      <c r="HZ368" s="104"/>
      <c r="IA368" s="104"/>
      <c r="IB368" s="104"/>
      <c r="IC368" s="104"/>
      <c r="ID368" s="104"/>
      <c r="IE368" s="104"/>
      <c r="IF368" s="104"/>
      <c r="IG368" s="104"/>
      <c r="IH368" s="104"/>
      <c r="II368" s="104"/>
      <c r="IJ368" s="104"/>
      <c r="IK368" s="104"/>
      <c r="IL368" s="104"/>
      <c r="IM368" s="104"/>
      <c r="IN368" s="104"/>
      <c r="IO368" s="104"/>
      <c r="IP368" s="104"/>
      <c r="IQ368" s="104"/>
      <c r="IR368" s="104"/>
      <c r="IS368" s="104"/>
      <c r="IT368" s="104"/>
      <c r="IU368" s="104"/>
      <c r="IV368" s="104"/>
      <c r="IW368" s="104"/>
      <c r="IX368" s="104"/>
      <c r="IY368" s="104"/>
      <c r="IZ368" s="104"/>
      <c r="JA368" s="104"/>
    </row>
    <row r="369" spans="61:261" x14ac:dyDescent="0.2">
      <c r="BI369" s="104"/>
      <c r="BJ369" s="104"/>
      <c r="BK369" s="104"/>
      <c r="BL369" s="104"/>
      <c r="BM369" s="104"/>
      <c r="BN369" s="104"/>
      <c r="BO369" s="104"/>
      <c r="BP369" s="104"/>
      <c r="BQ369" s="104"/>
      <c r="BR369" s="104"/>
      <c r="BS369" s="104"/>
      <c r="BT369" s="104"/>
      <c r="BU369" s="104"/>
      <c r="BV369" s="104"/>
      <c r="BW369" s="104"/>
      <c r="BX369" s="104"/>
      <c r="BY369" s="104"/>
      <c r="BZ369" s="104"/>
      <c r="CA369" s="104"/>
      <c r="CB369" s="104"/>
      <c r="CC369" s="104"/>
      <c r="CD369" s="104"/>
      <c r="CE369" s="104"/>
      <c r="CF369" s="104"/>
      <c r="CG369" s="104"/>
      <c r="CH369" s="104"/>
      <c r="CI369" s="104"/>
      <c r="CJ369" s="104"/>
      <c r="CK369" s="104"/>
      <c r="CL369" s="104"/>
      <c r="CM369" s="104"/>
      <c r="CN369" s="104"/>
      <c r="CO369" s="104"/>
      <c r="CP369" s="104"/>
      <c r="CQ369" s="104"/>
      <c r="CR369" s="104"/>
      <c r="CS369" s="104"/>
      <c r="CT369" s="104"/>
      <c r="CU369" s="104"/>
      <c r="CV369" s="104"/>
      <c r="CW369" s="104"/>
      <c r="CX369" s="104"/>
      <c r="CY369" s="104"/>
      <c r="CZ369" s="104"/>
      <c r="DA369" s="104"/>
      <c r="DB369" s="104"/>
      <c r="DC369" s="104"/>
      <c r="DD369" s="104"/>
      <c r="DE369" s="104"/>
      <c r="DF369" s="104"/>
      <c r="DG369" s="104"/>
      <c r="DH369" s="104"/>
      <c r="DI369" s="104"/>
      <c r="DJ369" s="104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104"/>
      <c r="DV369" s="104"/>
      <c r="DW369" s="104"/>
      <c r="DX369" s="104"/>
      <c r="DY369" s="104"/>
      <c r="DZ369" s="104"/>
      <c r="EA369" s="104"/>
      <c r="EB369" s="104"/>
      <c r="EC369" s="104"/>
      <c r="ED369" s="104"/>
      <c r="EE369" s="104"/>
      <c r="EF369" s="104"/>
      <c r="EG369" s="104"/>
      <c r="EH369" s="104"/>
      <c r="EI369" s="104"/>
      <c r="EJ369" s="104"/>
      <c r="EK369" s="104"/>
      <c r="EL369" s="104"/>
      <c r="EM369" s="104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04"/>
      <c r="EZ369" s="104"/>
      <c r="FA369" s="104"/>
      <c r="FB369" s="104"/>
      <c r="FC369" s="104"/>
      <c r="FD369" s="104"/>
      <c r="FE369" s="104"/>
      <c r="FF369" s="104"/>
      <c r="FG369" s="104"/>
      <c r="FH369" s="104"/>
      <c r="FI369" s="104"/>
      <c r="FJ369" s="104"/>
      <c r="FK369" s="104"/>
      <c r="FL369" s="104"/>
      <c r="FM369" s="104"/>
      <c r="FN369" s="104"/>
      <c r="FO369" s="104"/>
      <c r="FP369" s="104"/>
      <c r="FQ369" s="104"/>
      <c r="FR369" s="104"/>
      <c r="FS369" s="104"/>
      <c r="FT369" s="104"/>
      <c r="FU369" s="104"/>
      <c r="FV369" s="104"/>
      <c r="FW369" s="104"/>
      <c r="FX369" s="104"/>
      <c r="FY369" s="104"/>
      <c r="FZ369" s="104"/>
      <c r="GA369" s="104"/>
      <c r="GB369" s="104"/>
      <c r="GC369" s="104"/>
      <c r="GD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  <c r="HA369" s="104"/>
      <c r="HB369" s="104"/>
      <c r="HC369" s="104"/>
      <c r="HD369" s="104"/>
      <c r="HE369" s="104"/>
      <c r="HF369" s="104"/>
      <c r="HG369" s="104"/>
      <c r="HH369" s="104"/>
      <c r="HI369" s="104"/>
      <c r="HJ369" s="104"/>
      <c r="HK369" s="104"/>
      <c r="HL369" s="104"/>
      <c r="HM369" s="104"/>
      <c r="HN369" s="104"/>
      <c r="HO369" s="104"/>
      <c r="HP369" s="104"/>
      <c r="HQ369" s="104"/>
      <c r="HR369" s="104"/>
      <c r="HS369" s="104"/>
      <c r="HT369" s="104"/>
      <c r="HU369" s="104"/>
      <c r="HV369" s="104"/>
      <c r="HW369" s="104"/>
      <c r="HX369" s="104"/>
      <c r="HY369" s="104"/>
      <c r="HZ369" s="104"/>
      <c r="IA369" s="104"/>
      <c r="IB369" s="104"/>
      <c r="IC369" s="104"/>
      <c r="ID369" s="104"/>
      <c r="IE369" s="104"/>
      <c r="IF369" s="104"/>
      <c r="IG369" s="104"/>
      <c r="IH369" s="104"/>
      <c r="II369" s="104"/>
      <c r="IJ369" s="104"/>
      <c r="IK369" s="104"/>
      <c r="IL369" s="104"/>
      <c r="IM369" s="104"/>
      <c r="IN369" s="104"/>
      <c r="IO369" s="104"/>
      <c r="IP369" s="104"/>
      <c r="IQ369" s="104"/>
      <c r="IR369" s="104"/>
      <c r="IS369" s="104"/>
      <c r="IT369" s="104"/>
      <c r="IU369" s="104"/>
      <c r="IV369" s="104"/>
      <c r="IW369" s="104"/>
      <c r="IX369" s="104"/>
      <c r="IY369" s="104"/>
      <c r="IZ369" s="104"/>
      <c r="JA369" s="104"/>
    </row>
    <row r="370" spans="61:261" x14ac:dyDescent="0.2">
      <c r="BI370" s="104"/>
      <c r="BJ370" s="104"/>
      <c r="BK370" s="104"/>
      <c r="BL370" s="104"/>
      <c r="BM370" s="104"/>
      <c r="BN370" s="104"/>
      <c r="BO370" s="104"/>
      <c r="BP370" s="104"/>
      <c r="BQ370" s="104"/>
      <c r="BR370" s="104"/>
      <c r="BS370" s="104"/>
      <c r="BT370" s="104"/>
      <c r="BU370" s="104"/>
      <c r="BV370" s="104"/>
      <c r="BW370" s="104"/>
      <c r="BX370" s="104"/>
      <c r="BY370" s="104"/>
      <c r="BZ370" s="104"/>
      <c r="CA370" s="104"/>
      <c r="CB370" s="104"/>
      <c r="CC370" s="104"/>
      <c r="CD370" s="104"/>
      <c r="CE370" s="104"/>
      <c r="CF370" s="104"/>
      <c r="CG370" s="104"/>
      <c r="CH370" s="104"/>
      <c r="CI370" s="104"/>
      <c r="CJ370" s="104"/>
      <c r="CK370" s="104"/>
      <c r="CL370" s="104"/>
      <c r="CM370" s="104"/>
      <c r="CN370" s="104"/>
      <c r="CO370" s="104"/>
      <c r="CP370" s="104"/>
      <c r="CQ370" s="104"/>
      <c r="CR370" s="104"/>
      <c r="CS370" s="104"/>
      <c r="CT370" s="104"/>
      <c r="CU370" s="104"/>
      <c r="CV370" s="104"/>
      <c r="CW370" s="104"/>
      <c r="CX370" s="104"/>
      <c r="CY370" s="104"/>
      <c r="CZ370" s="104"/>
      <c r="DA370" s="104"/>
      <c r="DB370" s="104"/>
      <c r="DC370" s="104"/>
      <c r="DD370" s="104"/>
      <c r="DE370" s="104"/>
      <c r="DF370" s="104"/>
      <c r="DG370" s="104"/>
      <c r="DH370" s="104"/>
      <c r="DI370" s="104"/>
      <c r="DJ370" s="104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104"/>
      <c r="DV370" s="104"/>
      <c r="DW370" s="104"/>
      <c r="DX370" s="104"/>
      <c r="DY370" s="104"/>
      <c r="DZ370" s="104"/>
      <c r="EA370" s="104"/>
      <c r="EB370" s="104"/>
      <c r="EC370" s="104"/>
      <c r="ED370" s="104"/>
      <c r="EE370" s="104"/>
      <c r="EF370" s="104"/>
      <c r="EG370" s="104"/>
      <c r="EH370" s="104"/>
      <c r="EI370" s="104"/>
      <c r="EJ370" s="104"/>
      <c r="EK370" s="104"/>
      <c r="EL370" s="104"/>
      <c r="EM370" s="104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04"/>
      <c r="EZ370" s="104"/>
      <c r="FA370" s="104"/>
      <c r="FB370" s="104"/>
      <c r="FC370" s="104"/>
      <c r="FD370" s="104"/>
      <c r="FE370" s="104"/>
      <c r="FF370" s="104"/>
      <c r="FG370" s="104"/>
      <c r="FH370" s="104"/>
      <c r="FI370" s="104"/>
      <c r="FJ370" s="104"/>
      <c r="FK370" s="104"/>
      <c r="FL370" s="104"/>
      <c r="FM370" s="104"/>
      <c r="FN370" s="104"/>
      <c r="FO370" s="104"/>
      <c r="FP370" s="104"/>
      <c r="FQ370" s="104"/>
      <c r="FR370" s="104"/>
      <c r="FS370" s="104"/>
      <c r="FT370" s="104"/>
      <c r="FU370" s="104"/>
      <c r="FV370" s="104"/>
      <c r="FW370" s="104"/>
      <c r="FX370" s="104"/>
      <c r="FY370" s="104"/>
      <c r="FZ370" s="104"/>
      <c r="GA370" s="104"/>
      <c r="GB370" s="104"/>
      <c r="GC370" s="104"/>
      <c r="GD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  <c r="HA370" s="104"/>
      <c r="HB370" s="104"/>
      <c r="HC370" s="104"/>
      <c r="HD370" s="104"/>
      <c r="HE370" s="104"/>
      <c r="HF370" s="104"/>
      <c r="HG370" s="104"/>
      <c r="HH370" s="104"/>
      <c r="HI370" s="104"/>
      <c r="HJ370" s="104"/>
      <c r="HK370" s="104"/>
      <c r="HL370" s="104"/>
      <c r="HM370" s="104"/>
      <c r="HN370" s="104"/>
      <c r="HO370" s="104"/>
      <c r="HP370" s="104"/>
      <c r="HQ370" s="104"/>
      <c r="HR370" s="104"/>
      <c r="HS370" s="104"/>
      <c r="HT370" s="104"/>
      <c r="HU370" s="104"/>
      <c r="HV370" s="104"/>
      <c r="HW370" s="104"/>
      <c r="HX370" s="104"/>
      <c r="HY370" s="104"/>
      <c r="HZ370" s="104"/>
      <c r="IA370" s="104"/>
      <c r="IB370" s="104"/>
      <c r="IC370" s="104"/>
      <c r="ID370" s="104"/>
      <c r="IE370" s="104"/>
      <c r="IF370" s="104"/>
      <c r="IG370" s="104"/>
      <c r="IH370" s="104"/>
      <c r="II370" s="104"/>
      <c r="IJ370" s="104"/>
      <c r="IK370" s="104"/>
      <c r="IL370" s="104"/>
      <c r="IM370" s="104"/>
      <c r="IN370" s="104"/>
      <c r="IO370" s="104"/>
      <c r="IP370" s="104"/>
      <c r="IQ370" s="104"/>
      <c r="IR370" s="104"/>
      <c r="IS370" s="104"/>
      <c r="IT370" s="104"/>
      <c r="IU370" s="104"/>
      <c r="IV370" s="104"/>
      <c r="IW370" s="104"/>
      <c r="IX370" s="104"/>
      <c r="IY370" s="104"/>
      <c r="IZ370" s="104"/>
      <c r="JA370" s="104"/>
    </row>
    <row r="371" spans="61:261" x14ac:dyDescent="0.2">
      <c r="BI371" s="104"/>
      <c r="BJ371" s="104"/>
      <c r="BK371" s="104"/>
      <c r="BL371" s="104"/>
      <c r="BM371" s="104"/>
      <c r="BN371" s="104"/>
      <c r="BO371" s="104"/>
      <c r="BP371" s="104"/>
      <c r="BQ371" s="104"/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4"/>
      <c r="CB371" s="104"/>
      <c r="CC371" s="104"/>
      <c r="CD371" s="104"/>
      <c r="CE371" s="104"/>
      <c r="CF371" s="104"/>
      <c r="CG371" s="104"/>
      <c r="CH371" s="104"/>
      <c r="CI371" s="104"/>
      <c r="CJ371" s="104"/>
      <c r="CK371" s="104"/>
      <c r="CL371" s="104"/>
      <c r="CM371" s="104"/>
      <c r="CN371" s="104"/>
      <c r="CO371" s="104"/>
      <c r="CP371" s="104"/>
      <c r="CQ371" s="104"/>
      <c r="CR371" s="104"/>
      <c r="CS371" s="104"/>
      <c r="CT371" s="104"/>
      <c r="CU371" s="104"/>
      <c r="CV371" s="104"/>
      <c r="CW371" s="104"/>
      <c r="CX371" s="104"/>
      <c r="CY371" s="104"/>
      <c r="CZ371" s="104"/>
      <c r="DA371" s="104"/>
      <c r="DB371" s="104"/>
      <c r="DC371" s="104"/>
      <c r="DD371" s="104"/>
      <c r="DE371" s="104"/>
      <c r="DF371" s="104"/>
      <c r="DG371" s="104"/>
      <c r="DH371" s="104"/>
      <c r="DI371" s="104"/>
      <c r="DJ371" s="104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104"/>
      <c r="DV371" s="104"/>
      <c r="DW371" s="104"/>
      <c r="DX371" s="104"/>
      <c r="DY371" s="104"/>
      <c r="DZ371" s="104"/>
      <c r="EA371" s="104"/>
      <c r="EB371" s="104"/>
      <c r="EC371" s="104"/>
      <c r="ED371" s="104"/>
      <c r="EE371" s="104"/>
      <c r="EF371" s="104"/>
      <c r="EG371" s="104"/>
      <c r="EH371" s="104"/>
      <c r="EI371" s="104"/>
      <c r="EJ371" s="104"/>
      <c r="EK371" s="104"/>
      <c r="EL371" s="104"/>
      <c r="EM371" s="104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4"/>
      <c r="FA371" s="104"/>
      <c r="FB371" s="104"/>
      <c r="FC371" s="104"/>
      <c r="FD371" s="104"/>
      <c r="FE371" s="104"/>
      <c r="FF371" s="104"/>
      <c r="FG371" s="104"/>
      <c r="FH371" s="104"/>
      <c r="FI371" s="104"/>
      <c r="FJ371" s="104"/>
      <c r="FK371" s="104"/>
      <c r="FL371" s="104"/>
      <c r="FM371" s="104"/>
      <c r="FN371" s="104"/>
      <c r="FO371" s="104"/>
      <c r="FP371" s="104"/>
      <c r="FQ371" s="104"/>
      <c r="FR371" s="104"/>
      <c r="FS371" s="104"/>
      <c r="FT371" s="104"/>
      <c r="FU371" s="104"/>
      <c r="FV371" s="104"/>
      <c r="FW371" s="104"/>
      <c r="FX371" s="104"/>
      <c r="FY371" s="104"/>
      <c r="FZ371" s="104"/>
      <c r="GA371" s="104"/>
      <c r="GB371" s="104"/>
      <c r="GC371" s="104"/>
      <c r="GD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  <c r="HA371" s="104"/>
      <c r="HB371" s="104"/>
      <c r="HC371" s="104"/>
      <c r="HD371" s="104"/>
      <c r="HE371" s="104"/>
      <c r="HF371" s="104"/>
      <c r="HG371" s="104"/>
      <c r="HH371" s="104"/>
      <c r="HI371" s="104"/>
      <c r="HJ371" s="104"/>
      <c r="HK371" s="104"/>
      <c r="HL371" s="104"/>
      <c r="HM371" s="104"/>
      <c r="HN371" s="104"/>
      <c r="HO371" s="104"/>
      <c r="HP371" s="104"/>
      <c r="HQ371" s="104"/>
      <c r="HR371" s="104"/>
      <c r="HS371" s="104"/>
      <c r="HT371" s="104"/>
      <c r="HU371" s="104"/>
      <c r="HV371" s="104"/>
      <c r="HW371" s="104"/>
      <c r="HX371" s="104"/>
      <c r="HY371" s="104"/>
      <c r="HZ371" s="104"/>
      <c r="IA371" s="104"/>
      <c r="IB371" s="104"/>
      <c r="IC371" s="104"/>
      <c r="ID371" s="104"/>
      <c r="IE371" s="104"/>
      <c r="IF371" s="104"/>
      <c r="IG371" s="104"/>
      <c r="IH371" s="104"/>
      <c r="II371" s="104"/>
      <c r="IJ371" s="104"/>
      <c r="IK371" s="104"/>
      <c r="IL371" s="104"/>
      <c r="IM371" s="104"/>
      <c r="IN371" s="104"/>
      <c r="IO371" s="104"/>
      <c r="IP371" s="104"/>
      <c r="IQ371" s="104"/>
      <c r="IR371" s="104"/>
      <c r="IS371" s="104"/>
      <c r="IT371" s="104"/>
      <c r="IU371" s="104"/>
      <c r="IV371" s="104"/>
      <c r="IW371" s="104"/>
      <c r="IX371" s="104"/>
      <c r="IY371" s="104"/>
      <c r="IZ371" s="104"/>
      <c r="JA371" s="104"/>
    </row>
    <row r="372" spans="61:261" x14ac:dyDescent="0.2">
      <c r="BI372" s="104"/>
      <c r="BJ372" s="104"/>
      <c r="BK372" s="104"/>
      <c r="BL372" s="104"/>
      <c r="BM372" s="104"/>
      <c r="BN372" s="104"/>
      <c r="BO372" s="104"/>
      <c r="BP372" s="104"/>
      <c r="BQ372" s="104"/>
      <c r="BR372" s="104"/>
      <c r="BS372" s="104"/>
      <c r="BT372" s="104"/>
      <c r="BU372" s="104"/>
      <c r="BV372" s="104"/>
      <c r="BW372" s="104"/>
      <c r="BX372" s="104"/>
      <c r="BY372" s="104"/>
      <c r="BZ372" s="104"/>
      <c r="CA372" s="104"/>
      <c r="CB372" s="104"/>
      <c r="CC372" s="104"/>
      <c r="CD372" s="104"/>
      <c r="CE372" s="104"/>
      <c r="CF372" s="104"/>
      <c r="CG372" s="104"/>
      <c r="CH372" s="104"/>
      <c r="CI372" s="104"/>
      <c r="CJ372" s="104"/>
      <c r="CK372" s="104"/>
      <c r="CL372" s="104"/>
      <c r="CM372" s="104"/>
      <c r="CN372" s="104"/>
      <c r="CO372" s="104"/>
      <c r="CP372" s="104"/>
      <c r="CQ372" s="104"/>
      <c r="CR372" s="104"/>
      <c r="CS372" s="104"/>
      <c r="CT372" s="104"/>
      <c r="CU372" s="104"/>
      <c r="CV372" s="104"/>
      <c r="CW372" s="104"/>
      <c r="CX372" s="104"/>
      <c r="CY372" s="104"/>
      <c r="CZ372" s="104"/>
      <c r="DA372" s="104"/>
      <c r="DB372" s="104"/>
      <c r="DC372" s="104"/>
      <c r="DD372" s="104"/>
      <c r="DE372" s="104"/>
      <c r="DF372" s="104"/>
      <c r="DG372" s="104"/>
      <c r="DH372" s="104"/>
      <c r="DI372" s="104"/>
      <c r="DJ372" s="104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104"/>
      <c r="DV372" s="104"/>
      <c r="DW372" s="104"/>
      <c r="DX372" s="104"/>
      <c r="DY372" s="104"/>
      <c r="DZ372" s="104"/>
      <c r="EA372" s="104"/>
      <c r="EB372" s="104"/>
      <c r="EC372" s="104"/>
      <c r="ED372" s="104"/>
      <c r="EE372" s="104"/>
      <c r="EF372" s="104"/>
      <c r="EG372" s="104"/>
      <c r="EH372" s="104"/>
      <c r="EI372" s="104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04"/>
      <c r="EZ372" s="104"/>
      <c r="FA372" s="104"/>
      <c r="FB372" s="104"/>
      <c r="FC372" s="104"/>
      <c r="FD372" s="104"/>
      <c r="FE372" s="104"/>
      <c r="FF372" s="104"/>
      <c r="FG372" s="104"/>
      <c r="FH372" s="104"/>
      <c r="FI372" s="104"/>
      <c r="FJ372" s="104"/>
      <c r="FK372" s="104"/>
      <c r="FL372" s="104"/>
      <c r="FM372" s="104"/>
      <c r="FN372" s="104"/>
      <c r="FO372" s="104"/>
      <c r="FP372" s="104"/>
      <c r="FQ372" s="104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  <c r="HA372" s="104"/>
      <c r="HB372" s="104"/>
      <c r="HC372" s="104"/>
      <c r="HD372" s="104"/>
      <c r="HE372" s="104"/>
      <c r="HF372" s="104"/>
      <c r="HG372" s="104"/>
      <c r="HH372" s="104"/>
      <c r="HI372" s="104"/>
      <c r="HJ372" s="104"/>
      <c r="HK372" s="104"/>
      <c r="HL372" s="104"/>
      <c r="HM372" s="104"/>
      <c r="HN372" s="104"/>
      <c r="HO372" s="104"/>
      <c r="HP372" s="104"/>
      <c r="HQ372" s="104"/>
      <c r="HR372" s="104"/>
      <c r="HS372" s="104"/>
      <c r="HT372" s="104"/>
      <c r="HU372" s="104"/>
      <c r="HV372" s="104"/>
      <c r="HW372" s="104"/>
      <c r="HX372" s="104"/>
      <c r="HY372" s="104"/>
      <c r="HZ372" s="104"/>
      <c r="IA372" s="104"/>
      <c r="IB372" s="104"/>
      <c r="IC372" s="104"/>
      <c r="ID372" s="104"/>
      <c r="IE372" s="104"/>
      <c r="IF372" s="104"/>
      <c r="IG372" s="104"/>
      <c r="IH372" s="104"/>
      <c r="II372" s="104"/>
      <c r="IJ372" s="104"/>
      <c r="IK372" s="104"/>
      <c r="IL372" s="104"/>
      <c r="IM372" s="104"/>
      <c r="IN372" s="104"/>
      <c r="IO372" s="104"/>
      <c r="IP372" s="104"/>
      <c r="IQ372" s="104"/>
      <c r="IR372" s="104"/>
      <c r="IS372" s="104"/>
      <c r="IT372" s="104"/>
      <c r="IU372" s="104"/>
      <c r="IV372" s="104"/>
      <c r="IW372" s="104"/>
      <c r="IX372" s="104"/>
      <c r="IY372" s="104"/>
      <c r="IZ372" s="104"/>
      <c r="JA372" s="104"/>
    </row>
    <row r="373" spans="61:261" x14ac:dyDescent="0.2">
      <c r="BI373" s="104"/>
      <c r="BJ373" s="104"/>
      <c r="BK373" s="104"/>
      <c r="BL373" s="104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4"/>
      <c r="DB373" s="104"/>
      <c r="DC373" s="104"/>
      <c r="DD373" s="104"/>
      <c r="DE373" s="104"/>
      <c r="DF373" s="104"/>
      <c r="DG373" s="104"/>
      <c r="DH373" s="104"/>
      <c r="DI373" s="104"/>
      <c r="DJ373" s="104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104"/>
      <c r="DV373" s="104"/>
      <c r="DW373" s="104"/>
      <c r="DX373" s="104"/>
      <c r="DY373" s="104"/>
      <c r="DZ373" s="104"/>
      <c r="EA373" s="104"/>
      <c r="EB373" s="104"/>
      <c r="EC373" s="104"/>
      <c r="ED373" s="104"/>
      <c r="EE373" s="104"/>
      <c r="EF373" s="104"/>
      <c r="EG373" s="104"/>
      <c r="EH373" s="104"/>
      <c r="EI373" s="104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04"/>
      <c r="EZ373" s="104"/>
      <c r="FA373" s="104"/>
      <c r="FB373" s="104"/>
      <c r="FC373" s="104"/>
      <c r="FD373" s="104"/>
      <c r="FE373" s="104"/>
      <c r="FF373" s="104"/>
      <c r="FG373" s="104"/>
      <c r="FH373" s="104"/>
      <c r="FI373" s="104"/>
      <c r="FJ373" s="104"/>
      <c r="FK373" s="104"/>
      <c r="FL373" s="104"/>
      <c r="FM373" s="104"/>
      <c r="FN373" s="104"/>
      <c r="FO373" s="104"/>
      <c r="FP373" s="104"/>
      <c r="FQ373" s="104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  <c r="HA373" s="104"/>
      <c r="HB373" s="104"/>
      <c r="HC373" s="104"/>
      <c r="HD373" s="104"/>
      <c r="HE373" s="104"/>
      <c r="HF373" s="104"/>
      <c r="HG373" s="104"/>
      <c r="HH373" s="104"/>
      <c r="HI373" s="104"/>
      <c r="HJ373" s="104"/>
      <c r="HK373" s="104"/>
      <c r="HL373" s="104"/>
      <c r="HM373" s="104"/>
      <c r="HN373" s="104"/>
      <c r="HO373" s="104"/>
      <c r="HP373" s="104"/>
      <c r="HQ373" s="104"/>
      <c r="HR373" s="104"/>
      <c r="HS373" s="104"/>
      <c r="HT373" s="104"/>
      <c r="HU373" s="104"/>
      <c r="HV373" s="104"/>
      <c r="HW373" s="104"/>
      <c r="HX373" s="104"/>
      <c r="HY373" s="104"/>
      <c r="HZ373" s="104"/>
      <c r="IA373" s="104"/>
      <c r="IB373" s="104"/>
      <c r="IC373" s="104"/>
      <c r="ID373" s="104"/>
      <c r="IE373" s="104"/>
      <c r="IF373" s="104"/>
      <c r="IG373" s="104"/>
      <c r="IH373" s="104"/>
      <c r="II373" s="104"/>
      <c r="IJ373" s="104"/>
      <c r="IK373" s="104"/>
      <c r="IL373" s="104"/>
      <c r="IM373" s="104"/>
      <c r="IN373" s="104"/>
      <c r="IO373" s="104"/>
      <c r="IP373" s="104"/>
      <c r="IQ373" s="104"/>
      <c r="IR373" s="104"/>
      <c r="IS373" s="104"/>
      <c r="IT373" s="104"/>
      <c r="IU373" s="104"/>
      <c r="IV373" s="104"/>
      <c r="IW373" s="104"/>
      <c r="IX373" s="104"/>
      <c r="IY373" s="104"/>
      <c r="IZ373" s="104"/>
      <c r="JA373" s="104"/>
    </row>
    <row r="374" spans="61:261" x14ac:dyDescent="0.2">
      <c r="BI374" s="104"/>
      <c r="BJ374" s="104"/>
      <c r="BK374" s="104"/>
      <c r="BL374" s="104"/>
      <c r="BM374" s="104"/>
      <c r="BN374" s="104"/>
      <c r="BO374" s="104"/>
      <c r="BP374" s="104"/>
      <c r="BQ374" s="104"/>
      <c r="BR374" s="104"/>
      <c r="BS374" s="104"/>
      <c r="BT374" s="104"/>
      <c r="BU374" s="104"/>
      <c r="BV374" s="104"/>
      <c r="BW374" s="104"/>
      <c r="BX374" s="104"/>
      <c r="BY374" s="104"/>
      <c r="BZ374" s="104"/>
      <c r="CA374" s="104"/>
      <c r="CB374" s="104"/>
      <c r="CC374" s="104"/>
      <c r="CD374" s="104"/>
      <c r="CE374" s="104"/>
      <c r="CF374" s="104"/>
      <c r="CG374" s="104"/>
      <c r="CH374" s="104"/>
      <c r="CI374" s="104"/>
      <c r="CJ374" s="104"/>
      <c r="CK374" s="104"/>
      <c r="CL374" s="104"/>
      <c r="CM374" s="104"/>
      <c r="CN374" s="104"/>
      <c r="CO374" s="104"/>
      <c r="CP374" s="104"/>
      <c r="CQ374" s="104"/>
      <c r="CR374" s="104"/>
      <c r="CS374" s="104"/>
      <c r="CT374" s="104"/>
      <c r="CU374" s="104"/>
      <c r="CV374" s="104"/>
      <c r="CW374" s="104"/>
      <c r="CX374" s="104"/>
      <c r="CY374" s="104"/>
      <c r="CZ374" s="104"/>
      <c r="DA374" s="104"/>
      <c r="DB374" s="104"/>
      <c r="DC374" s="104"/>
      <c r="DD374" s="104"/>
      <c r="DE374" s="104"/>
      <c r="DF374" s="104"/>
      <c r="DG374" s="104"/>
      <c r="DH374" s="104"/>
      <c r="DI374" s="104"/>
      <c r="DJ374" s="104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104"/>
      <c r="DV374" s="104"/>
      <c r="DW374" s="104"/>
      <c r="DX374" s="104"/>
      <c r="DY374" s="104"/>
      <c r="DZ374" s="104"/>
      <c r="EA374" s="104"/>
      <c r="EB374" s="104"/>
      <c r="EC374" s="104"/>
      <c r="ED374" s="104"/>
      <c r="EE374" s="104"/>
      <c r="EF374" s="104"/>
      <c r="EG374" s="104"/>
      <c r="EH374" s="104"/>
      <c r="EI374" s="104"/>
      <c r="EJ374" s="104"/>
      <c r="EK374" s="104"/>
      <c r="EL374" s="104"/>
      <c r="EM374" s="104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04"/>
      <c r="EZ374" s="104"/>
      <c r="FA374" s="104"/>
      <c r="FB374" s="104"/>
      <c r="FC374" s="104"/>
      <c r="FD374" s="104"/>
      <c r="FE374" s="104"/>
      <c r="FF374" s="104"/>
      <c r="FG374" s="104"/>
      <c r="FH374" s="104"/>
      <c r="FI374" s="104"/>
      <c r="FJ374" s="104"/>
      <c r="FK374" s="104"/>
      <c r="FL374" s="104"/>
      <c r="FM374" s="104"/>
      <c r="FN374" s="104"/>
      <c r="FO374" s="104"/>
      <c r="FP374" s="104"/>
      <c r="FQ374" s="104"/>
      <c r="FR374" s="104"/>
      <c r="FS374" s="104"/>
      <c r="FT374" s="104"/>
      <c r="FU374" s="104"/>
      <c r="FV374" s="104"/>
      <c r="FW374" s="104"/>
      <c r="FX374" s="104"/>
      <c r="FY374" s="104"/>
      <c r="FZ374" s="104"/>
      <c r="GA374" s="104"/>
      <c r="GB374" s="104"/>
      <c r="GC374" s="104"/>
      <c r="GD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  <c r="HA374" s="104"/>
      <c r="HB374" s="104"/>
      <c r="HC374" s="104"/>
      <c r="HD374" s="104"/>
      <c r="HE374" s="104"/>
      <c r="HF374" s="104"/>
      <c r="HG374" s="104"/>
      <c r="HH374" s="104"/>
      <c r="HI374" s="104"/>
      <c r="HJ374" s="104"/>
      <c r="HK374" s="104"/>
      <c r="HL374" s="104"/>
      <c r="HM374" s="104"/>
      <c r="HN374" s="104"/>
      <c r="HO374" s="104"/>
      <c r="HP374" s="104"/>
      <c r="HQ374" s="104"/>
      <c r="HR374" s="104"/>
      <c r="HS374" s="104"/>
      <c r="HT374" s="104"/>
      <c r="HU374" s="104"/>
      <c r="HV374" s="104"/>
      <c r="HW374" s="104"/>
      <c r="HX374" s="104"/>
      <c r="HY374" s="104"/>
      <c r="HZ374" s="104"/>
      <c r="IA374" s="104"/>
      <c r="IB374" s="104"/>
      <c r="IC374" s="104"/>
      <c r="ID374" s="104"/>
      <c r="IE374" s="104"/>
      <c r="IF374" s="104"/>
      <c r="IG374" s="104"/>
      <c r="IH374" s="104"/>
      <c r="II374" s="104"/>
      <c r="IJ374" s="104"/>
      <c r="IK374" s="104"/>
      <c r="IL374" s="104"/>
      <c r="IM374" s="104"/>
      <c r="IN374" s="104"/>
      <c r="IO374" s="104"/>
      <c r="IP374" s="104"/>
      <c r="IQ374" s="104"/>
      <c r="IR374" s="104"/>
      <c r="IS374" s="104"/>
      <c r="IT374" s="104"/>
      <c r="IU374" s="104"/>
      <c r="IV374" s="104"/>
      <c r="IW374" s="104"/>
      <c r="IX374" s="104"/>
      <c r="IY374" s="104"/>
      <c r="IZ374" s="104"/>
      <c r="JA374" s="104"/>
    </row>
    <row r="375" spans="61:261" x14ac:dyDescent="0.2">
      <c r="BI375" s="104"/>
      <c r="BJ375" s="104"/>
      <c r="BK375" s="104"/>
      <c r="BL375" s="104"/>
      <c r="BM375" s="104"/>
      <c r="BN375" s="104"/>
      <c r="BO375" s="104"/>
      <c r="BP375" s="104"/>
      <c r="BQ375" s="104"/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4"/>
      <c r="CB375" s="104"/>
      <c r="CC375" s="104"/>
      <c r="CD375" s="104"/>
      <c r="CE375" s="104"/>
      <c r="CF375" s="104"/>
      <c r="CG375" s="104"/>
      <c r="CH375" s="104"/>
      <c r="CI375" s="104"/>
      <c r="CJ375" s="104"/>
      <c r="CK375" s="104"/>
      <c r="CL375" s="104"/>
      <c r="CM375" s="104"/>
      <c r="CN375" s="104"/>
      <c r="CO375" s="104"/>
      <c r="CP375" s="104"/>
      <c r="CQ375" s="104"/>
      <c r="CR375" s="104"/>
      <c r="CS375" s="104"/>
      <c r="CT375" s="104"/>
      <c r="CU375" s="104"/>
      <c r="CV375" s="104"/>
      <c r="CW375" s="104"/>
      <c r="CX375" s="104"/>
      <c r="CY375" s="104"/>
      <c r="CZ375" s="104"/>
      <c r="DA375" s="104"/>
      <c r="DB375" s="104"/>
      <c r="DC375" s="104"/>
      <c r="DD375" s="104"/>
      <c r="DE375" s="104"/>
      <c r="DF375" s="104"/>
      <c r="DG375" s="104"/>
      <c r="DH375" s="104"/>
      <c r="DI375" s="104"/>
      <c r="DJ375" s="104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104"/>
      <c r="DV375" s="104"/>
      <c r="DW375" s="104"/>
      <c r="DX375" s="104"/>
      <c r="DY375" s="104"/>
      <c r="DZ375" s="104"/>
      <c r="EA375" s="104"/>
      <c r="EB375" s="104"/>
      <c r="EC375" s="104"/>
      <c r="ED375" s="104"/>
      <c r="EE375" s="104"/>
      <c r="EF375" s="104"/>
      <c r="EG375" s="104"/>
      <c r="EH375" s="104"/>
      <c r="EI375" s="104"/>
      <c r="EJ375" s="104"/>
      <c r="EK375" s="104"/>
      <c r="EL375" s="104"/>
      <c r="EM375" s="104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4"/>
      <c r="FA375" s="104"/>
      <c r="FB375" s="104"/>
      <c r="FC375" s="104"/>
      <c r="FD375" s="104"/>
      <c r="FE375" s="104"/>
      <c r="FF375" s="104"/>
      <c r="FG375" s="104"/>
      <c r="FH375" s="104"/>
      <c r="FI375" s="104"/>
      <c r="FJ375" s="104"/>
      <c r="FK375" s="104"/>
      <c r="FL375" s="104"/>
      <c r="FM375" s="104"/>
      <c r="FN375" s="104"/>
      <c r="FO375" s="104"/>
      <c r="FP375" s="104"/>
      <c r="FQ375" s="104"/>
      <c r="FR375" s="104"/>
      <c r="FS375" s="104"/>
      <c r="FT375" s="104"/>
      <c r="FU375" s="104"/>
      <c r="FV375" s="104"/>
      <c r="FW375" s="104"/>
      <c r="FX375" s="104"/>
      <c r="FY375" s="104"/>
      <c r="FZ375" s="104"/>
      <c r="GA375" s="104"/>
      <c r="GB375" s="104"/>
      <c r="GC375" s="104"/>
      <c r="GD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  <c r="HA375" s="104"/>
      <c r="HB375" s="104"/>
      <c r="HC375" s="104"/>
      <c r="HD375" s="104"/>
      <c r="HE375" s="104"/>
      <c r="HF375" s="104"/>
      <c r="HG375" s="104"/>
      <c r="HH375" s="104"/>
      <c r="HI375" s="104"/>
      <c r="HJ375" s="104"/>
      <c r="HK375" s="104"/>
      <c r="HL375" s="104"/>
      <c r="HM375" s="104"/>
      <c r="HN375" s="104"/>
      <c r="HO375" s="104"/>
      <c r="HP375" s="104"/>
      <c r="HQ375" s="104"/>
      <c r="HR375" s="104"/>
      <c r="HS375" s="104"/>
      <c r="HT375" s="104"/>
      <c r="HU375" s="104"/>
      <c r="HV375" s="104"/>
      <c r="HW375" s="104"/>
      <c r="HX375" s="104"/>
      <c r="HY375" s="104"/>
      <c r="HZ375" s="104"/>
      <c r="IA375" s="104"/>
      <c r="IB375" s="104"/>
      <c r="IC375" s="104"/>
      <c r="ID375" s="104"/>
      <c r="IE375" s="104"/>
      <c r="IF375" s="104"/>
      <c r="IG375" s="104"/>
      <c r="IH375" s="104"/>
      <c r="II375" s="104"/>
      <c r="IJ375" s="104"/>
      <c r="IK375" s="104"/>
      <c r="IL375" s="104"/>
      <c r="IM375" s="104"/>
      <c r="IN375" s="104"/>
      <c r="IO375" s="104"/>
      <c r="IP375" s="104"/>
      <c r="IQ375" s="104"/>
      <c r="IR375" s="104"/>
      <c r="IS375" s="104"/>
      <c r="IT375" s="104"/>
      <c r="IU375" s="104"/>
      <c r="IV375" s="104"/>
      <c r="IW375" s="104"/>
      <c r="IX375" s="104"/>
      <c r="IY375" s="104"/>
      <c r="IZ375" s="104"/>
      <c r="JA375" s="104"/>
    </row>
    <row r="376" spans="61:261" x14ac:dyDescent="0.2">
      <c r="BI376" s="104"/>
      <c r="BJ376" s="104"/>
      <c r="BK376" s="104"/>
      <c r="BL376" s="104"/>
      <c r="BM376" s="104"/>
      <c r="BN376" s="104"/>
      <c r="BO376" s="104"/>
      <c r="BP376" s="104"/>
      <c r="BQ376" s="104"/>
      <c r="BR376" s="104"/>
      <c r="BS376" s="104"/>
      <c r="BT376" s="104"/>
      <c r="BU376" s="104"/>
      <c r="BV376" s="104"/>
      <c r="BW376" s="104"/>
      <c r="BX376" s="104"/>
      <c r="BY376" s="104"/>
      <c r="BZ376" s="104"/>
      <c r="CA376" s="104"/>
      <c r="CB376" s="104"/>
      <c r="CC376" s="104"/>
      <c r="CD376" s="104"/>
      <c r="CE376" s="104"/>
      <c r="CF376" s="104"/>
      <c r="CG376" s="104"/>
      <c r="CH376" s="104"/>
      <c r="CI376" s="104"/>
      <c r="CJ376" s="104"/>
      <c r="CK376" s="104"/>
      <c r="CL376" s="104"/>
      <c r="CM376" s="104"/>
      <c r="CN376" s="104"/>
      <c r="CO376" s="104"/>
      <c r="CP376" s="104"/>
      <c r="CQ376" s="104"/>
      <c r="CR376" s="104"/>
      <c r="CS376" s="104"/>
      <c r="CT376" s="104"/>
      <c r="CU376" s="104"/>
      <c r="CV376" s="104"/>
      <c r="CW376" s="104"/>
      <c r="CX376" s="104"/>
      <c r="CY376" s="104"/>
      <c r="CZ376" s="104"/>
      <c r="DA376" s="104"/>
      <c r="DB376" s="104"/>
      <c r="DC376" s="104"/>
      <c r="DD376" s="104"/>
      <c r="DE376" s="104"/>
      <c r="DF376" s="104"/>
      <c r="DG376" s="104"/>
      <c r="DH376" s="104"/>
      <c r="DI376" s="104"/>
      <c r="DJ376" s="104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104"/>
      <c r="DV376" s="104"/>
      <c r="DW376" s="104"/>
      <c r="DX376" s="104"/>
      <c r="DY376" s="104"/>
      <c r="DZ376" s="104"/>
      <c r="EA376" s="104"/>
      <c r="EB376" s="104"/>
      <c r="EC376" s="104"/>
      <c r="ED376" s="104"/>
      <c r="EE376" s="104"/>
      <c r="EF376" s="104"/>
      <c r="EG376" s="104"/>
      <c r="EH376" s="104"/>
      <c r="EI376" s="104"/>
      <c r="EJ376" s="104"/>
      <c r="EK376" s="104"/>
      <c r="EL376" s="104"/>
      <c r="EM376" s="104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04"/>
      <c r="EZ376" s="104"/>
      <c r="FA376" s="104"/>
      <c r="FB376" s="104"/>
      <c r="FC376" s="104"/>
      <c r="FD376" s="104"/>
      <c r="FE376" s="104"/>
      <c r="FF376" s="104"/>
      <c r="FG376" s="104"/>
      <c r="FH376" s="104"/>
      <c r="FI376" s="104"/>
      <c r="FJ376" s="104"/>
      <c r="FK376" s="104"/>
      <c r="FL376" s="104"/>
      <c r="FM376" s="104"/>
      <c r="FN376" s="104"/>
      <c r="FO376" s="104"/>
      <c r="FP376" s="104"/>
      <c r="FQ376" s="104"/>
      <c r="FR376" s="104"/>
      <c r="FS376" s="104"/>
      <c r="FT376" s="104"/>
      <c r="FU376" s="104"/>
      <c r="FV376" s="104"/>
      <c r="FW376" s="104"/>
      <c r="FX376" s="104"/>
      <c r="FY376" s="104"/>
      <c r="FZ376" s="104"/>
      <c r="GA376" s="104"/>
      <c r="GB376" s="104"/>
      <c r="GC376" s="104"/>
      <c r="GD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  <c r="HA376" s="104"/>
      <c r="HB376" s="104"/>
      <c r="HC376" s="104"/>
      <c r="HD376" s="104"/>
      <c r="HE376" s="104"/>
      <c r="HF376" s="104"/>
      <c r="HG376" s="104"/>
      <c r="HH376" s="104"/>
      <c r="HI376" s="104"/>
      <c r="HJ376" s="104"/>
      <c r="HK376" s="104"/>
      <c r="HL376" s="104"/>
      <c r="HM376" s="104"/>
      <c r="HN376" s="104"/>
      <c r="HO376" s="104"/>
      <c r="HP376" s="104"/>
      <c r="HQ376" s="104"/>
      <c r="HR376" s="104"/>
      <c r="HS376" s="104"/>
      <c r="HT376" s="104"/>
      <c r="HU376" s="104"/>
      <c r="HV376" s="104"/>
      <c r="HW376" s="104"/>
      <c r="HX376" s="104"/>
      <c r="HY376" s="104"/>
      <c r="HZ376" s="104"/>
      <c r="IA376" s="104"/>
      <c r="IB376" s="104"/>
      <c r="IC376" s="104"/>
      <c r="ID376" s="104"/>
      <c r="IE376" s="104"/>
      <c r="IF376" s="104"/>
      <c r="IG376" s="104"/>
      <c r="IH376" s="104"/>
      <c r="II376" s="104"/>
      <c r="IJ376" s="104"/>
      <c r="IK376" s="104"/>
      <c r="IL376" s="104"/>
      <c r="IM376" s="104"/>
      <c r="IN376" s="104"/>
      <c r="IO376" s="104"/>
      <c r="IP376" s="104"/>
      <c r="IQ376" s="104"/>
      <c r="IR376" s="104"/>
      <c r="IS376" s="104"/>
      <c r="IT376" s="104"/>
      <c r="IU376" s="104"/>
      <c r="IV376" s="104"/>
      <c r="IW376" s="104"/>
      <c r="IX376" s="104"/>
      <c r="IY376" s="104"/>
      <c r="IZ376" s="104"/>
      <c r="JA376" s="104"/>
    </row>
    <row r="377" spans="61:261" x14ac:dyDescent="0.2">
      <c r="BI377" s="104"/>
      <c r="BJ377" s="104"/>
      <c r="BK377" s="104"/>
      <c r="BL377" s="104"/>
      <c r="BM377" s="104"/>
      <c r="BN377" s="104"/>
      <c r="BO377" s="104"/>
      <c r="BP377" s="104"/>
      <c r="BQ377" s="104"/>
      <c r="BR377" s="104"/>
      <c r="BS377" s="104"/>
      <c r="BT377" s="104"/>
      <c r="BU377" s="104"/>
      <c r="BV377" s="104"/>
      <c r="BW377" s="104"/>
      <c r="BX377" s="104"/>
      <c r="BY377" s="104"/>
      <c r="BZ377" s="104"/>
      <c r="CA377" s="104"/>
      <c r="CB377" s="104"/>
      <c r="CC377" s="104"/>
      <c r="CD377" s="104"/>
      <c r="CE377" s="104"/>
      <c r="CF377" s="104"/>
      <c r="CG377" s="104"/>
      <c r="CH377" s="104"/>
      <c r="CI377" s="104"/>
      <c r="CJ377" s="104"/>
      <c r="CK377" s="104"/>
      <c r="CL377" s="104"/>
      <c r="CM377" s="104"/>
      <c r="CN377" s="104"/>
      <c r="CO377" s="104"/>
      <c r="CP377" s="104"/>
      <c r="CQ377" s="104"/>
      <c r="CR377" s="104"/>
      <c r="CS377" s="104"/>
      <c r="CT377" s="104"/>
      <c r="CU377" s="104"/>
      <c r="CV377" s="104"/>
      <c r="CW377" s="104"/>
      <c r="CX377" s="104"/>
      <c r="CY377" s="104"/>
      <c r="CZ377" s="104"/>
      <c r="DA377" s="104"/>
      <c r="DB377" s="104"/>
      <c r="DC377" s="104"/>
      <c r="DD377" s="104"/>
      <c r="DE377" s="104"/>
      <c r="DF377" s="104"/>
      <c r="DG377" s="104"/>
      <c r="DH377" s="104"/>
      <c r="DI377" s="104"/>
      <c r="DJ377" s="104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104"/>
      <c r="DV377" s="104"/>
      <c r="DW377" s="104"/>
      <c r="DX377" s="104"/>
      <c r="DY377" s="104"/>
      <c r="DZ377" s="104"/>
      <c r="EA377" s="104"/>
      <c r="EB377" s="104"/>
      <c r="EC377" s="104"/>
      <c r="ED377" s="104"/>
      <c r="EE377" s="104"/>
      <c r="EF377" s="104"/>
      <c r="EG377" s="104"/>
      <c r="EH377" s="104"/>
      <c r="EI377" s="104"/>
      <c r="EJ377" s="104"/>
      <c r="EK377" s="104"/>
      <c r="EL377" s="104"/>
      <c r="EM377" s="104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04"/>
      <c r="EZ377" s="104"/>
      <c r="FA377" s="104"/>
      <c r="FB377" s="104"/>
      <c r="FC377" s="104"/>
      <c r="FD377" s="104"/>
      <c r="FE377" s="104"/>
      <c r="FF377" s="104"/>
      <c r="FG377" s="104"/>
      <c r="FH377" s="104"/>
      <c r="FI377" s="104"/>
      <c r="FJ377" s="104"/>
      <c r="FK377" s="104"/>
      <c r="FL377" s="104"/>
      <c r="FM377" s="104"/>
      <c r="FN377" s="104"/>
      <c r="FO377" s="104"/>
      <c r="FP377" s="104"/>
      <c r="FQ377" s="104"/>
      <c r="FR377" s="104"/>
      <c r="FS377" s="104"/>
      <c r="FT377" s="104"/>
      <c r="FU377" s="104"/>
      <c r="FV377" s="104"/>
      <c r="FW377" s="104"/>
      <c r="FX377" s="104"/>
      <c r="FY377" s="104"/>
      <c r="FZ377" s="104"/>
      <c r="GA377" s="104"/>
      <c r="GB377" s="104"/>
      <c r="GC377" s="104"/>
      <c r="GD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  <c r="HA377" s="104"/>
      <c r="HB377" s="104"/>
      <c r="HC377" s="104"/>
      <c r="HD377" s="104"/>
      <c r="HE377" s="104"/>
      <c r="HF377" s="104"/>
      <c r="HG377" s="104"/>
      <c r="HH377" s="104"/>
      <c r="HI377" s="104"/>
      <c r="HJ377" s="104"/>
      <c r="HK377" s="104"/>
      <c r="HL377" s="104"/>
      <c r="HM377" s="104"/>
      <c r="HN377" s="104"/>
      <c r="HO377" s="104"/>
      <c r="HP377" s="104"/>
      <c r="HQ377" s="104"/>
      <c r="HR377" s="104"/>
      <c r="HS377" s="104"/>
      <c r="HT377" s="104"/>
      <c r="HU377" s="104"/>
      <c r="HV377" s="104"/>
      <c r="HW377" s="104"/>
      <c r="HX377" s="104"/>
      <c r="HY377" s="104"/>
      <c r="HZ377" s="104"/>
      <c r="IA377" s="104"/>
      <c r="IB377" s="104"/>
      <c r="IC377" s="104"/>
      <c r="ID377" s="104"/>
      <c r="IE377" s="104"/>
      <c r="IF377" s="104"/>
      <c r="IG377" s="104"/>
      <c r="IH377" s="104"/>
      <c r="II377" s="104"/>
      <c r="IJ377" s="104"/>
      <c r="IK377" s="104"/>
      <c r="IL377" s="104"/>
      <c r="IM377" s="104"/>
      <c r="IN377" s="104"/>
      <c r="IO377" s="104"/>
      <c r="IP377" s="104"/>
      <c r="IQ377" s="104"/>
      <c r="IR377" s="104"/>
      <c r="IS377" s="104"/>
      <c r="IT377" s="104"/>
      <c r="IU377" s="104"/>
      <c r="IV377" s="104"/>
      <c r="IW377" s="104"/>
      <c r="IX377" s="104"/>
      <c r="IY377" s="104"/>
      <c r="IZ377" s="104"/>
      <c r="JA377" s="104"/>
    </row>
    <row r="378" spans="61:261" x14ac:dyDescent="0.2">
      <c r="BI378" s="104"/>
      <c r="BJ378" s="104"/>
      <c r="BK378" s="104"/>
      <c r="BL378" s="104"/>
      <c r="BM378" s="104"/>
      <c r="BN378" s="104"/>
      <c r="BO378" s="104"/>
      <c r="BP378" s="104"/>
      <c r="BQ378" s="104"/>
      <c r="BR378" s="104"/>
      <c r="BS378" s="104"/>
      <c r="BT378" s="104"/>
      <c r="BU378" s="104"/>
      <c r="BV378" s="104"/>
      <c r="BW378" s="104"/>
      <c r="BX378" s="104"/>
      <c r="BY378" s="104"/>
      <c r="BZ378" s="104"/>
      <c r="CA378" s="104"/>
      <c r="CB378" s="104"/>
      <c r="CC378" s="104"/>
      <c r="CD378" s="104"/>
      <c r="CE378" s="104"/>
      <c r="CF378" s="104"/>
      <c r="CG378" s="104"/>
      <c r="CH378" s="104"/>
      <c r="CI378" s="104"/>
      <c r="CJ378" s="104"/>
      <c r="CK378" s="104"/>
      <c r="CL378" s="104"/>
      <c r="CM378" s="104"/>
      <c r="CN378" s="104"/>
      <c r="CO378" s="104"/>
      <c r="CP378" s="104"/>
      <c r="CQ378" s="104"/>
      <c r="CR378" s="104"/>
      <c r="CS378" s="104"/>
      <c r="CT378" s="104"/>
      <c r="CU378" s="104"/>
      <c r="CV378" s="104"/>
      <c r="CW378" s="104"/>
      <c r="CX378" s="104"/>
      <c r="CY378" s="104"/>
      <c r="CZ378" s="104"/>
      <c r="DA378" s="104"/>
      <c r="DB378" s="104"/>
      <c r="DC378" s="104"/>
      <c r="DD378" s="104"/>
      <c r="DE378" s="104"/>
      <c r="DF378" s="104"/>
      <c r="DG378" s="104"/>
      <c r="DH378" s="104"/>
      <c r="DI378" s="104"/>
      <c r="DJ378" s="104"/>
      <c r="DK378" s="104"/>
      <c r="DL378" s="104"/>
      <c r="DM378" s="104"/>
      <c r="DN378" s="104"/>
      <c r="DO378" s="104"/>
      <c r="DP378" s="104"/>
      <c r="DQ378" s="104"/>
      <c r="DR378" s="104"/>
      <c r="DS378" s="104"/>
      <c r="DT378" s="104"/>
      <c r="DU378" s="104"/>
      <c r="DV378" s="104"/>
      <c r="DW378" s="104"/>
      <c r="DX378" s="104"/>
      <c r="DY378" s="104"/>
      <c r="DZ378" s="104"/>
      <c r="EA378" s="104"/>
      <c r="EB378" s="104"/>
      <c r="EC378" s="104"/>
      <c r="ED378" s="104"/>
      <c r="EE378" s="104"/>
      <c r="EF378" s="104"/>
      <c r="EG378" s="104"/>
      <c r="EH378" s="104"/>
      <c r="EI378" s="104"/>
      <c r="EJ378" s="104"/>
      <c r="EK378" s="104"/>
      <c r="EL378" s="104"/>
      <c r="EM378" s="104"/>
      <c r="EN378" s="104"/>
      <c r="EO378" s="104"/>
      <c r="EP378" s="104"/>
      <c r="EQ378" s="104"/>
      <c r="ER378" s="104"/>
      <c r="ES378" s="104"/>
      <c r="ET378" s="104"/>
      <c r="EU378" s="104"/>
      <c r="EV378" s="104"/>
      <c r="EW378" s="104"/>
      <c r="EX378" s="104"/>
      <c r="EY378" s="104"/>
      <c r="EZ378" s="104"/>
      <c r="FA378" s="104"/>
      <c r="FB378" s="104"/>
      <c r="FC378" s="104"/>
      <c r="FD378" s="104"/>
      <c r="FE378" s="104"/>
      <c r="FF378" s="104"/>
      <c r="FG378" s="104"/>
      <c r="FH378" s="104"/>
      <c r="FI378" s="104"/>
      <c r="FJ378" s="104"/>
      <c r="FK378" s="104"/>
      <c r="FL378" s="104"/>
      <c r="FM378" s="104"/>
      <c r="FN378" s="104"/>
      <c r="FO378" s="104"/>
      <c r="FP378" s="104"/>
      <c r="FQ378" s="104"/>
      <c r="FR378" s="104"/>
      <c r="FS378" s="104"/>
      <c r="FT378" s="104"/>
      <c r="FU378" s="104"/>
      <c r="FV378" s="104"/>
      <c r="FW378" s="104"/>
      <c r="FX378" s="104"/>
      <c r="FY378" s="104"/>
      <c r="FZ378" s="104"/>
      <c r="GA378" s="104"/>
      <c r="GB378" s="104"/>
      <c r="GC378" s="104"/>
      <c r="GD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  <c r="HA378" s="104"/>
      <c r="HB378" s="104"/>
      <c r="HC378" s="104"/>
      <c r="HD378" s="104"/>
      <c r="HE378" s="104"/>
      <c r="HF378" s="104"/>
      <c r="HG378" s="104"/>
      <c r="HH378" s="104"/>
      <c r="HI378" s="104"/>
      <c r="HJ378" s="104"/>
      <c r="HK378" s="104"/>
      <c r="HL378" s="104"/>
      <c r="HM378" s="104"/>
      <c r="HN378" s="104"/>
      <c r="HO378" s="104"/>
      <c r="HP378" s="104"/>
      <c r="HQ378" s="104"/>
      <c r="HR378" s="104"/>
      <c r="HS378" s="104"/>
      <c r="HT378" s="104"/>
      <c r="HU378" s="104"/>
      <c r="HV378" s="104"/>
      <c r="HW378" s="104"/>
      <c r="HX378" s="104"/>
      <c r="HY378" s="104"/>
      <c r="HZ378" s="104"/>
      <c r="IA378" s="104"/>
      <c r="IB378" s="104"/>
      <c r="IC378" s="104"/>
      <c r="ID378" s="104"/>
      <c r="IE378" s="104"/>
      <c r="IF378" s="104"/>
      <c r="IG378" s="104"/>
      <c r="IH378" s="104"/>
      <c r="II378" s="104"/>
      <c r="IJ378" s="104"/>
      <c r="IK378" s="104"/>
      <c r="IL378" s="104"/>
      <c r="IM378" s="104"/>
      <c r="IN378" s="104"/>
      <c r="IO378" s="104"/>
      <c r="IP378" s="104"/>
      <c r="IQ378" s="104"/>
      <c r="IR378" s="104"/>
      <c r="IS378" s="104"/>
      <c r="IT378" s="104"/>
      <c r="IU378" s="104"/>
      <c r="IV378" s="104"/>
      <c r="IW378" s="104"/>
      <c r="IX378" s="104"/>
      <c r="IY378" s="104"/>
      <c r="IZ378" s="104"/>
      <c r="JA378" s="104"/>
    </row>
    <row r="379" spans="61:261" x14ac:dyDescent="0.2">
      <c r="BI379" s="104"/>
      <c r="BJ379" s="104"/>
      <c r="BK379" s="104"/>
      <c r="BL379" s="104"/>
      <c r="BM379" s="104"/>
      <c r="BN379" s="104"/>
      <c r="BO379" s="104"/>
      <c r="BP379" s="104"/>
      <c r="BQ379" s="104"/>
      <c r="BR379" s="104"/>
      <c r="BS379" s="104"/>
      <c r="BT379" s="104"/>
      <c r="BU379" s="104"/>
      <c r="BV379" s="104"/>
      <c r="BW379" s="104"/>
      <c r="BX379" s="104"/>
      <c r="BY379" s="104"/>
      <c r="BZ379" s="104"/>
      <c r="CA379" s="104"/>
      <c r="CB379" s="104"/>
      <c r="CC379" s="104"/>
      <c r="CD379" s="104"/>
      <c r="CE379" s="104"/>
      <c r="CF379" s="104"/>
      <c r="CG379" s="104"/>
      <c r="CH379" s="104"/>
      <c r="CI379" s="104"/>
      <c r="CJ379" s="104"/>
      <c r="CK379" s="104"/>
      <c r="CL379" s="104"/>
      <c r="CM379" s="104"/>
      <c r="CN379" s="104"/>
      <c r="CO379" s="104"/>
      <c r="CP379" s="104"/>
      <c r="CQ379" s="104"/>
      <c r="CR379" s="104"/>
      <c r="CS379" s="104"/>
      <c r="CT379" s="104"/>
      <c r="CU379" s="104"/>
      <c r="CV379" s="104"/>
      <c r="CW379" s="104"/>
      <c r="CX379" s="104"/>
      <c r="CY379" s="104"/>
      <c r="CZ379" s="104"/>
      <c r="DA379" s="104"/>
      <c r="DB379" s="104"/>
      <c r="DC379" s="104"/>
      <c r="DD379" s="104"/>
      <c r="DE379" s="104"/>
      <c r="DF379" s="104"/>
      <c r="DG379" s="104"/>
      <c r="DH379" s="104"/>
      <c r="DI379" s="104"/>
      <c r="DJ379" s="104"/>
      <c r="DK379" s="104"/>
      <c r="DL379" s="104"/>
      <c r="DM379" s="104"/>
      <c r="DN379" s="104"/>
      <c r="DO379" s="104"/>
      <c r="DP379" s="104"/>
      <c r="DQ379" s="104"/>
      <c r="DR379" s="104"/>
      <c r="DS379" s="104"/>
      <c r="DT379" s="104"/>
      <c r="DU379" s="104"/>
      <c r="DV379" s="104"/>
      <c r="DW379" s="104"/>
      <c r="DX379" s="104"/>
      <c r="DY379" s="104"/>
      <c r="DZ379" s="104"/>
      <c r="EA379" s="104"/>
      <c r="EB379" s="104"/>
      <c r="EC379" s="104"/>
      <c r="ED379" s="104"/>
      <c r="EE379" s="104"/>
      <c r="EF379" s="104"/>
      <c r="EG379" s="104"/>
      <c r="EH379" s="104"/>
      <c r="EI379" s="104"/>
      <c r="EJ379" s="104"/>
      <c r="EK379" s="104"/>
      <c r="EL379" s="104"/>
      <c r="EM379" s="104"/>
      <c r="EN379" s="104"/>
      <c r="EO379" s="104"/>
      <c r="EP379" s="104"/>
      <c r="EQ379" s="104"/>
      <c r="ER379" s="104"/>
      <c r="ES379" s="104"/>
      <c r="ET379" s="104"/>
      <c r="EU379" s="104"/>
      <c r="EV379" s="104"/>
      <c r="EW379" s="104"/>
      <c r="EX379" s="104"/>
      <c r="EY379" s="104"/>
      <c r="EZ379" s="104"/>
      <c r="FA379" s="104"/>
      <c r="FB379" s="104"/>
      <c r="FC379" s="104"/>
      <c r="FD379" s="104"/>
      <c r="FE379" s="104"/>
      <c r="FF379" s="104"/>
      <c r="FG379" s="104"/>
      <c r="FH379" s="104"/>
      <c r="FI379" s="104"/>
      <c r="FJ379" s="104"/>
      <c r="FK379" s="104"/>
      <c r="FL379" s="104"/>
      <c r="FM379" s="104"/>
      <c r="FN379" s="104"/>
      <c r="FO379" s="104"/>
      <c r="FP379" s="104"/>
      <c r="FQ379" s="104"/>
      <c r="FR379" s="104"/>
      <c r="FS379" s="104"/>
      <c r="FT379" s="104"/>
      <c r="FU379" s="104"/>
      <c r="FV379" s="104"/>
      <c r="FW379" s="104"/>
      <c r="FX379" s="104"/>
      <c r="FY379" s="104"/>
      <c r="FZ379" s="104"/>
      <c r="GA379" s="104"/>
      <c r="GB379" s="104"/>
      <c r="GC379" s="104"/>
      <c r="GD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  <c r="HA379" s="104"/>
      <c r="HB379" s="104"/>
      <c r="HC379" s="104"/>
      <c r="HD379" s="104"/>
      <c r="HE379" s="104"/>
      <c r="HF379" s="104"/>
      <c r="HG379" s="104"/>
      <c r="HH379" s="104"/>
      <c r="HI379" s="104"/>
      <c r="HJ379" s="104"/>
      <c r="HK379" s="104"/>
      <c r="HL379" s="104"/>
      <c r="HM379" s="104"/>
      <c r="HN379" s="104"/>
      <c r="HO379" s="104"/>
      <c r="HP379" s="104"/>
      <c r="HQ379" s="104"/>
      <c r="HR379" s="104"/>
      <c r="HS379" s="104"/>
      <c r="HT379" s="104"/>
      <c r="HU379" s="104"/>
      <c r="HV379" s="104"/>
      <c r="HW379" s="104"/>
      <c r="HX379" s="104"/>
      <c r="HY379" s="104"/>
      <c r="HZ379" s="104"/>
      <c r="IA379" s="104"/>
      <c r="IB379" s="104"/>
      <c r="IC379" s="104"/>
      <c r="ID379" s="104"/>
      <c r="IE379" s="104"/>
      <c r="IF379" s="104"/>
      <c r="IG379" s="104"/>
      <c r="IH379" s="104"/>
      <c r="II379" s="104"/>
      <c r="IJ379" s="104"/>
      <c r="IK379" s="104"/>
      <c r="IL379" s="104"/>
      <c r="IM379" s="104"/>
      <c r="IN379" s="104"/>
      <c r="IO379" s="104"/>
      <c r="IP379" s="104"/>
      <c r="IQ379" s="104"/>
      <c r="IR379" s="104"/>
      <c r="IS379" s="104"/>
      <c r="IT379" s="104"/>
      <c r="IU379" s="104"/>
      <c r="IV379" s="104"/>
      <c r="IW379" s="104"/>
      <c r="IX379" s="104"/>
      <c r="IY379" s="104"/>
      <c r="IZ379" s="104"/>
      <c r="JA379" s="104"/>
    </row>
    <row r="380" spans="61:261" x14ac:dyDescent="0.2">
      <c r="BI380" s="104"/>
      <c r="BJ380" s="104"/>
      <c r="BK380" s="104"/>
      <c r="BL380" s="104"/>
      <c r="BM380" s="104"/>
      <c r="BN380" s="104"/>
      <c r="BO380" s="104"/>
      <c r="BP380" s="104"/>
      <c r="BQ380" s="104"/>
      <c r="BR380" s="104"/>
      <c r="BS380" s="104"/>
      <c r="BT380" s="104"/>
      <c r="BU380" s="104"/>
      <c r="BV380" s="104"/>
      <c r="BW380" s="104"/>
      <c r="BX380" s="104"/>
      <c r="BY380" s="104"/>
      <c r="BZ380" s="104"/>
      <c r="CA380" s="104"/>
      <c r="CB380" s="104"/>
      <c r="CC380" s="104"/>
      <c r="CD380" s="104"/>
      <c r="CE380" s="104"/>
      <c r="CF380" s="104"/>
      <c r="CG380" s="104"/>
      <c r="CH380" s="104"/>
      <c r="CI380" s="104"/>
      <c r="CJ380" s="104"/>
      <c r="CK380" s="104"/>
      <c r="CL380" s="104"/>
      <c r="CM380" s="104"/>
      <c r="CN380" s="104"/>
      <c r="CO380" s="104"/>
      <c r="CP380" s="104"/>
      <c r="CQ380" s="104"/>
      <c r="CR380" s="104"/>
      <c r="CS380" s="104"/>
      <c r="CT380" s="104"/>
      <c r="CU380" s="104"/>
      <c r="CV380" s="104"/>
      <c r="CW380" s="104"/>
      <c r="CX380" s="104"/>
      <c r="CY380" s="104"/>
      <c r="CZ380" s="104"/>
      <c r="DA380" s="104"/>
      <c r="DB380" s="104"/>
      <c r="DC380" s="104"/>
      <c r="DD380" s="104"/>
      <c r="DE380" s="104"/>
      <c r="DF380" s="104"/>
      <c r="DG380" s="104"/>
      <c r="DH380" s="104"/>
      <c r="DI380" s="104"/>
      <c r="DJ380" s="104"/>
      <c r="DK380" s="104"/>
      <c r="DL380" s="104"/>
      <c r="DM380" s="104"/>
      <c r="DN380" s="104"/>
      <c r="DO380" s="104"/>
      <c r="DP380" s="104"/>
      <c r="DQ380" s="104"/>
      <c r="DR380" s="104"/>
      <c r="DS380" s="104"/>
      <c r="DT380" s="104"/>
      <c r="DU380" s="104"/>
      <c r="DV380" s="104"/>
      <c r="DW380" s="104"/>
      <c r="DX380" s="104"/>
      <c r="DY380" s="104"/>
      <c r="DZ380" s="104"/>
      <c r="EA380" s="104"/>
      <c r="EB380" s="104"/>
      <c r="EC380" s="104"/>
      <c r="ED380" s="104"/>
      <c r="EE380" s="104"/>
      <c r="EF380" s="104"/>
      <c r="EG380" s="104"/>
      <c r="EH380" s="104"/>
      <c r="EI380" s="104"/>
      <c r="EJ380" s="104"/>
      <c r="EK380" s="104"/>
      <c r="EL380" s="104"/>
      <c r="EM380" s="104"/>
      <c r="EN380" s="104"/>
      <c r="EO380" s="104"/>
      <c r="EP380" s="104"/>
      <c r="EQ380" s="104"/>
      <c r="ER380" s="104"/>
      <c r="ES380" s="104"/>
      <c r="ET380" s="104"/>
      <c r="EU380" s="104"/>
      <c r="EV380" s="104"/>
      <c r="EW380" s="104"/>
      <c r="EX380" s="104"/>
      <c r="EY380" s="104"/>
      <c r="EZ380" s="104"/>
      <c r="FA380" s="104"/>
      <c r="FB380" s="104"/>
      <c r="FC380" s="104"/>
      <c r="FD380" s="104"/>
      <c r="FE380" s="104"/>
      <c r="FF380" s="104"/>
      <c r="FG380" s="104"/>
      <c r="FH380" s="104"/>
      <c r="FI380" s="104"/>
      <c r="FJ380" s="104"/>
      <c r="FK380" s="104"/>
      <c r="FL380" s="104"/>
      <c r="FM380" s="104"/>
      <c r="FN380" s="104"/>
      <c r="FO380" s="104"/>
      <c r="FP380" s="104"/>
      <c r="FQ380" s="104"/>
      <c r="FR380" s="104"/>
      <c r="FS380" s="104"/>
      <c r="FT380" s="104"/>
      <c r="FU380" s="104"/>
      <c r="FV380" s="104"/>
      <c r="FW380" s="104"/>
      <c r="FX380" s="104"/>
      <c r="FY380" s="104"/>
      <c r="FZ380" s="104"/>
      <c r="GA380" s="104"/>
      <c r="GB380" s="104"/>
      <c r="GC380" s="104"/>
      <c r="GD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  <c r="HA380" s="104"/>
      <c r="HB380" s="104"/>
      <c r="HC380" s="104"/>
      <c r="HD380" s="104"/>
      <c r="HE380" s="104"/>
      <c r="HF380" s="104"/>
      <c r="HG380" s="104"/>
      <c r="HH380" s="104"/>
      <c r="HI380" s="104"/>
      <c r="HJ380" s="104"/>
      <c r="HK380" s="104"/>
      <c r="HL380" s="104"/>
      <c r="HM380" s="104"/>
      <c r="HN380" s="104"/>
      <c r="HO380" s="104"/>
      <c r="HP380" s="104"/>
      <c r="HQ380" s="104"/>
      <c r="HR380" s="104"/>
      <c r="HS380" s="104"/>
      <c r="HT380" s="104"/>
      <c r="HU380" s="104"/>
      <c r="HV380" s="104"/>
      <c r="HW380" s="104"/>
      <c r="HX380" s="104"/>
      <c r="HY380" s="104"/>
      <c r="HZ380" s="104"/>
      <c r="IA380" s="104"/>
      <c r="IB380" s="104"/>
      <c r="IC380" s="104"/>
      <c r="ID380" s="104"/>
      <c r="IE380" s="104"/>
      <c r="IF380" s="104"/>
      <c r="IG380" s="104"/>
      <c r="IH380" s="104"/>
      <c r="II380" s="104"/>
      <c r="IJ380" s="104"/>
      <c r="IK380" s="104"/>
      <c r="IL380" s="104"/>
      <c r="IM380" s="104"/>
      <c r="IN380" s="104"/>
      <c r="IO380" s="104"/>
      <c r="IP380" s="104"/>
      <c r="IQ380" s="104"/>
      <c r="IR380" s="104"/>
      <c r="IS380" s="104"/>
      <c r="IT380" s="104"/>
      <c r="IU380" s="104"/>
      <c r="IV380" s="104"/>
      <c r="IW380" s="104"/>
      <c r="IX380" s="104"/>
      <c r="IY380" s="104"/>
      <c r="IZ380" s="104"/>
      <c r="JA380" s="104"/>
    </row>
    <row r="381" spans="61:261" x14ac:dyDescent="0.2">
      <c r="BI381" s="104"/>
      <c r="BJ381" s="104"/>
      <c r="BK381" s="104"/>
      <c r="BL381" s="104"/>
      <c r="BM381" s="104"/>
      <c r="BN381" s="104"/>
      <c r="BO381" s="104"/>
      <c r="BP381" s="104"/>
      <c r="BQ381" s="104"/>
      <c r="BR381" s="104"/>
      <c r="BS381" s="104"/>
      <c r="BT381" s="104"/>
      <c r="BU381" s="104"/>
      <c r="BV381" s="104"/>
      <c r="BW381" s="104"/>
      <c r="BX381" s="104"/>
      <c r="BY381" s="104"/>
      <c r="BZ381" s="104"/>
      <c r="CA381" s="104"/>
      <c r="CB381" s="104"/>
      <c r="CC381" s="104"/>
      <c r="CD381" s="104"/>
      <c r="CE381" s="104"/>
      <c r="CF381" s="104"/>
      <c r="CG381" s="104"/>
      <c r="CH381" s="104"/>
      <c r="CI381" s="104"/>
      <c r="CJ381" s="104"/>
      <c r="CK381" s="104"/>
      <c r="CL381" s="104"/>
      <c r="CM381" s="104"/>
      <c r="CN381" s="104"/>
      <c r="CO381" s="104"/>
      <c r="CP381" s="104"/>
      <c r="CQ381" s="104"/>
      <c r="CR381" s="104"/>
      <c r="CS381" s="104"/>
      <c r="CT381" s="104"/>
      <c r="CU381" s="104"/>
      <c r="CV381" s="104"/>
      <c r="CW381" s="104"/>
      <c r="CX381" s="104"/>
      <c r="CY381" s="104"/>
      <c r="CZ381" s="104"/>
      <c r="DA381" s="104"/>
      <c r="DB381" s="104"/>
      <c r="DC381" s="104"/>
      <c r="DD381" s="104"/>
      <c r="DE381" s="104"/>
      <c r="DF381" s="104"/>
      <c r="DG381" s="104"/>
      <c r="DH381" s="104"/>
      <c r="DI381" s="104"/>
      <c r="DJ381" s="104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104"/>
      <c r="DV381" s="104"/>
      <c r="DW381" s="104"/>
      <c r="DX381" s="104"/>
      <c r="DY381" s="104"/>
      <c r="DZ381" s="104"/>
      <c r="EA381" s="104"/>
      <c r="EB381" s="104"/>
      <c r="EC381" s="104"/>
      <c r="ED381" s="104"/>
      <c r="EE381" s="104"/>
      <c r="EF381" s="104"/>
      <c r="EG381" s="104"/>
      <c r="EH381" s="104"/>
      <c r="EI381" s="104"/>
      <c r="EJ381" s="104"/>
      <c r="EK381" s="104"/>
      <c r="EL381" s="104"/>
      <c r="EM381" s="104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04"/>
      <c r="EZ381" s="104"/>
      <c r="FA381" s="104"/>
      <c r="FB381" s="104"/>
      <c r="FC381" s="104"/>
      <c r="FD381" s="104"/>
      <c r="FE381" s="104"/>
      <c r="FF381" s="104"/>
      <c r="FG381" s="104"/>
      <c r="FH381" s="104"/>
      <c r="FI381" s="104"/>
      <c r="FJ381" s="104"/>
      <c r="FK381" s="104"/>
      <c r="FL381" s="104"/>
      <c r="FM381" s="104"/>
      <c r="FN381" s="104"/>
      <c r="FO381" s="104"/>
      <c r="FP381" s="104"/>
      <c r="FQ381" s="104"/>
      <c r="FR381" s="104"/>
      <c r="FS381" s="104"/>
      <c r="FT381" s="104"/>
      <c r="FU381" s="104"/>
      <c r="FV381" s="104"/>
      <c r="FW381" s="104"/>
      <c r="FX381" s="104"/>
      <c r="FY381" s="104"/>
      <c r="FZ381" s="104"/>
      <c r="GA381" s="104"/>
      <c r="GB381" s="104"/>
      <c r="GC381" s="104"/>
      <c r="GD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  <c r="HA381" s="104"/>
      <c r="HB381" s="104"/>
      <c r="HC381" s="104"/>
      <c r="HD381" s="104"/>
      <c r="HE381" s="104"/>
      <c r="HF381" s="104"/>
      <c r="HG381" s="104"/>
      <c r="HH381" s="104"/>
      <c r="HI381" s="104"/>
      <c r="HJ381" s="104"/>
      <c r="HK381" s="104"/>
      <c r="HL381" s="104"/>
      <c r="HM381" s="104"/>
      <c r="HN381" s="104"/>
      <c r="HO381" s="104"/>
      <c r="HP381" s="104"/>
      <c r="HQ381" s="104"/>
      <c r="HR381" s="104"/>
      <c r="HS381" s="104"/>
      <c r="HT381" s="104"/>
      <c r="HU381" s="104"/>
      <c r="HV381" s="104"/>
      <c r="HW381" s="104"/>
      <c r="HX381" s="104"/>
      <c r="HY381" s="104"/>
      <c r="HZ381" s="104"/>
      <c r="IA381" s="104"/>
      <c r="IB381" s="104"/>
      <c r="IC381" s="104"/>
      <c r="ID381" s="104"/>
      <c r="IE381" s="104"/>
      <c r="IF381" s="104"/>
      <c r="IG381" s="104"/>
      <c r="IH381" s="104"/>
      <c r="II381" s="104"/>
      <c r="IJ381" s="104"/>
      <c r="IK381" s="104"/>
      <c r="IL381" s="104"/>
      <c r="IM381" s="104"/>
      <c r="IN381" s="104"/>
      <c r="IO381" s="104"/>
      <c r="IP381" s="104"/>
      <c r="IQ381" s="104"/>
      <c r="IR381" s="104"/>
      <c r="IS381" s="104"/>
      <c r="IT381" s="104"/>
      <c r="IU381" s="104"/>
      <c r="IV381" s="104"/>
      <c r="IW381" s="104"/>
      <c r="IX381" s="104"/>
      <c r="IY381" s="104"/>
      <c r="IZ381" s="104"/>
      <c r="JA381" s="104"/>
    </row>
    <row r="382" spans="61:261" x14ac:dyDescent="0.2">
      <c r="BI382" s="104"/>
      <c r="BJ382" s="104"/>
      <c r="BK382" s="104"/>
      <c r="BL382" s="104"/>
      <c r="BM382" s="104"/>
      <c r="BN382" s="104"/>
      <c r="BO382" s="104"/>
      <c r="BP382" s="104"/>
      <c r="BQ382" s="104"/>
      <c r="BR382" s="104"/>
      <c r="BS382" s="104"/>
      <c r="BT382" s="104"/>
      <c r="BU382" s="104"/>
      <c r="BV382" s="104"/>
      <c r="BW382" s="104"/>
      <c r="BX382" s="104"/>
      <c r="BY382" s="104"/>
      <c r="BZ382" s="104"/>
      <c r="CA382" s="104"/>
      <c r="CB382" s="104"/>
      <c r="CC382" s="104"/>
      <c r="CD382" s="104"/>
      <c r="CE382" s="104"/>
      <c r="CF382" s="104"/>
      <c r="CG382" s="104"/>
      <c r="CH382" s="104"/>
      <c r="CI382" s="104"/>
      <c r="CJ382" s="104"/>
      <c r="CK382" s="104"/>
      <c r="CL382" s="104"/>
      <c r="CM382" s="104"/>
      <c r="CN382" s="104"/>
      <c r="CO382" s="104"/>
      <c r="CP382" s="104"/>
      <c r="CQ382" s="104"/>
      <c r="CR382" s="104"/>
      <c r="CS382" s="104"/>
      <c r="CT382" s="104"/>
      <c r="CU382" s="104"/>
      <c r="CV382" s="104"/>
      <c r="CW382" s="104"/>
      <c r="CX382" s="104"/>
      <c r="CY382" s="104"/>
      <c r="CZ382" s="104"/>
      <c r="DA382" s="104"/>
      <c r="DB382" s="104"/>
      <c r="DC382" s="104"/>
      <c r="DD382" s="104"/>
      <c r="DE382" s="104"/>
      <c r="DF382" s="104"/>
      <c r="DG382" s="104"/>
      <c r="DH382" s="104"/>
      <c r="DI382" s="104"/>
      <c r="DJ382" s="104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104"/>
      <c r="DV382" s="104"/>
      <c r="DW382" s="104"/>
      <c r="DX382" s="104"/>
      <c r="DY382" s="104"/>
      <c r="DZ382" s="104"/>
      <c r="EA382" s="104"/>
      <c r="EB382" s="104"/>
      <c r="EC382" s="104"/>
      <c r="ED382" s="104"/>
      <c r="EE382" s="104"/>
      <c r="EF382" s="104"/>
      <c r="EG382" s="104"/>
      <c r="EH382" s="104"/>
      <c r="EI382" s="104"/>
      <c r="EJ382" s="104"/>
      <c r="EK382" s="104"/>
      <c r="EL382" s="104"/>
      <c r="EM382" s="104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04"/>
      <c r="EZ382" s="104"/>
      <c r="FA382" s="104"/>
      <c r="FB382" s="104"/>
      <c r="FC382" s="104"/>
      <c r="FD382" s="104"/>
      <c r="FE382" s="104"/>
      <c r="FF382" s="104"/>
      <c r="FG382" s="104"/>
      <c r="FH382" s="104"/>
      <c r="FI382" s="104"/>
      <c r="FJ382" s="104"/>
      <c r="FK382" s="104"/>
      <c r="FL382" s="104"/>
      <c r="FM382" s="104"/>
      <c r="FN382" s="104"/>
      <c r="FO382" s="104"/>
      <c r="FP382" s="104"/>
      <c r="FQ382" s="104"/>
      <c r="FR382" s="104"/>
      <c r="FS382" s="104"/>
      <c r="FT382" s="104"/>
      <c r="FU382" s="104"/>
      <c r="FV382" s="104"/>
      <c r="FW382" s="104"/>
      <c r="FX382" s="104"/>
      <c r="FY382" s="104"/>
      <c r="FZ382" s="104"/>
      <c r="GA382" s="104"/>
      <c r="GB382" s="104"/>
      <c r="GC382" s="104"/>
      <c r="GD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  <c r="HA382" s="104"/>
      <c r="HB382" s="104"/>
      <c r="HC382" s="104"/>
      <c r="HD382" s="104"/>
      <c r="HE382" s="104"/>
      <c r="HF382" s="104"/>
      <c r="HG382" s="104"/>
      <c r="HH382" s="104"/>
      <c r="HI382" s="104"/>
      <c r="HJ382" s="104"/>
      <c r="HK382" s="104"/>
      <c r="HL382" s="104"/>
      <c r="HM382" s="104"/>
      <c r="HN382" s="104"/>
      <c r="HO382" s="104"/>
      <c r="HP382" s="104"/>
      <c r="HQ382" s="104"/>
      <c r="HR382" s="104"/>
      <c r="HS382" s="104"/>
      <c r="HT382" s="104"/>
      <c r="HU382" s="104"/>
      <c r="HV382" s="104"/>
      <c r="HW382" s="104"/>
      <c r="HX382" s="104"/>
      <c r="HY382" s="104"/>
      <c r="HZ382" s="104"/>
      <c r="IA382" s="104"/>
      <c r="IB382" s="104"/>
      <c r="IC382" s="104"/>
      <c r="ID382" s="104"/>
      <c r="IE382" s="104"/>
      <c r="IF382" s="104"/>
      <c r="IG382" s="104"/>
      <c r="IH382" s="104"/>
      <c r="II382" s="104"/>
      <c r="IJ382" s="104"/>
      <c r="IK382" s="104"/>
      <c r="IL382" s="104"/>
      <c r="IM382" s="104"/>
      <c r="IN382" s="104"/>
      <c r="IO382" s="104"/>
      <c r="IP382" s="104"/>
      <c r="IQ382" s="104"/>
      <c r="IR382" s="104"/>
      <c r="IS382" s="104"/>
      <c r="IT382" s="104"/>
      <c r="IU382" s="104"/>
      <c r="IV382" s="104"/>
      <c r="IW382" s="104"/>
      <c r="IX382" s="104"/>
      <c r="IY382" s="104"/>
      <c r="IZ382" s="104"/>
      <c r="JA382" s="104"/>
    </row>
    <row r="383" spans="61:261" x14ac:dyDescent="0.2">
      <c r="BI383" s="104"/>
      <c r="BJ383" s="104"/>
      <c r="BK383" s="104"/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CY383" s="104"/>
      <c r="CZ383" s="104"/>
      <c r="DA383" s="104"/>
      <c r="DB383" s="104"/>
      <c r="DC383" s="104"/>
      <c r="DD383" s="104"/>
      <c r="DE383" s="104"/>
      <c r="DF383" s="104"/>
      <c r="DG383" s="104"/>
      <c r="DH383" s="104"/>
      <c r="DI383" s="104"/>
      <c r="DJ383" s="104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104"/>
      <c r="DV383" s="104"/>
      <c r="DW383" s="104"/>
      <c r="DX383" s="104"/>
      <c r="DY383" s="104"/>
      <c r="DZ383" s="104"/>
      <c r="EA383" s="104"/>
      <c r="EB383" s="104"/>
      <c r="EC383" s="104"/>
      <c r="ED383" s="104"/>
      <c r="EE383" s="104"/>
      <c r="EF383" s="104"/>
      <c r="EG383" s="104"/>
      <c r="EH383" s="104"/>
      <c r="EI383" s="104"/>
      <c r="EJ383" s="104"/>
      <c r="EK383" s="104"/>
      <c r="EL383" s="104"/>
      <c r="EM383" s="104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04"/>
      <c r="EZ383" s="104"/>
      <c r="FA383" s="104"/>
      <c r="FB383" s="104"/>
      <c r="FC383" s="104"/>
      <c r="FD383" s="104"/>
      <c r="FE383" s="104"/>
      <c r="FF383" s="104"/>
      <c r="FG383" s="104"/>
      <c r="FH383" s="104"/>
      <c r="FI383" s="104"/>
      <c r="FJ383" s="104"/>
      <c r="FK383" s="104"/>
      <c r="FL383" s="104"/>
      <c r="FM383" s="104"/>
      <c r="FN383" s="104"/>
      <c r="FO383" s="104"/>
      <c r="FP383" s="104"/>
      <c r="FQ383" s="104"/>
      <c r="FR383" s="104"/>
      <c r="FS383" s="104"/>
      <c r="FT383" s="104"/>
      <c r="FU383" s="104"/>
      <c r="FV383" s="104"/>
      <c r="FW383" s="104"/>
      <c r="FX383" s="104"/>
      <c r="FY383" s="104"/>
      <c r="FZ383" s="104"/>
      <c r="GA383" s="104"/>
      <c r="GB383" s="104"/>
      <c r="GC383" s="104"/>
      <c r="GD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  <c r="HA383" s="104"/>
      <c r="HB383" s="104"/>
      <c r="HC383" s="104"/>
      <c r="HD383" s="104"/>
      <c r="HE383" s="104"/>
      <c r="HF383" s="104"/>
      <c r="HG383" s="104"/>
      <c r="HH383" s="104"/>
      <c r="HI383" s="104"/>
      <c r="HJ383" s="104"/>
      <c r="HK383" s="104"/>
      <c r="HL383" s="104"/>
      <c r="HM383" s="104"/>
      <c r="HN383" s="104"/>
      <c r="HO383" s="104"/>
      <c r="HP383" s="104"/>
      <c r="HQ383" s="104"/>
      <c r="HR383" s="104"/>
      <c r="HS383" s="104"/>
      <c r="HT383" s="104"/>
      <c r="HU383" s="104"/>
      <c r="HV383" s="104"/>
      <c r="HW383" s="104"/>
      <c r="HX383" s="104"/>
      <c r="HY383" s="104"/>
      <c r="HZ383" s="104"/>
      <c r="IA383" s="104"/>
      <c r="IB383" s="104"/>
      <c r="IC383" s="104"/>
      <c r="ID383" s="104"/>
      <c r="IE383" s="104"/>
      <c r="IF383" s="104"/>
      <c r="IG383" s="104"/>
      <c r="IH383" s="104"/>
      <c r="II383" s="104"/>
      <c r="IJ383" s="104"/>
      <c r="IK383" s="104"/>
      <c r="IL383" s="104"/>
      <c r="IM383" s="104"/>
      <c r="IN383" s="104"/>
      <c r="IO383" s="104"/>
      <c r="IP383" s="104"/>
      <c r="IQ383" s="104"/>
      <c r="IR383" s="104"/>
      <c r="IS383" s="104"/>
      <c r="IT383" s="104"/>
      <c r="IU383" s="104"/>
      <c r="IV383" s="104"/>
      <c r="IW383" s="104"/>
      <c r="IX383" s="104"/>
      <c r="IY383" s="104"/>
      <c r="IZ383" s="104"/>
      <c r="JA383" s="104"/>
    </row>
    <row r="384" spans="61:261" x14ac:dyDescent="0.2">
      <c r="BI384" s="104"/>
      <c r="BJ384" s="104"/>
      <c r="BK384" s="104"/>
      <c r="BL384" s="104"/>
      <c r="BM384" s="104"/>
      <c r="BN384" s="104"/>
      <c r="BO384" s="104"/>
      <c r="BP384" s="104"/>
      <c r="BQ384" s="104"/>
      <c r="BR384" s="104"/>
      <c r="BS384" s="104"/>
      <c r="BT384" s="104"/>
      <c r="BU384" s="104"/>
      <c r="BV384" s="104"/>
      <c r="BW384" s="104"/>
      <c r="BX384" s="104"/>
      <c r="BY384" s="104"/>
      <c r="BZ384" s="104"/>
      <c r="CA384" s="104"/>
      <c r="CB384" s="104"/>
      <c r="CC384" s="104"/>
      <c r="CD384" s="104"/>
      <c r="CE384" s="104"/>
      <c r="CF384" s="104"/>
      <c r="CG384" s="104"/>
      <c r="CH384" s="104"/>
      <c r="CI384" s="104"/>
      <c r="CJ384" s="104"/>
      <c r="CK384" s="104"/>
      <c r="CL384" s="104"/>
      <c r="CM384" s="104"/>
      <c r="CN384" s="104"/>
      <c r="CO384" s="104"/>
      <c r="CP384" s="104"/>
      <c r="CQ384" s="104"/>
      <c r="CR384" s="104"/>
      <c r="CS384" s="104"/>
      <c r="CT384" s="104"/>
      <c r="CU384" s="104"/>
      <c r="CV384" s="104"/>
      <c r="CW384" s="104"/>
      <c r="CX384" s="104"/>
      <c r="CY384" s="104"/>
      <c r="CZ384" s="104"/>
      <c r="DA384" s="104"/>
      <c r="DB384" s="104"/>
      <c r="DC384" s="104"/>
      <c r="DD384" s="104"/>
      <c r="DE384" s="104"/>
      <c r="DF384" s="104"/>
      <c r="DG384" s="104"/>
      <c r="DH384" s="104"/>
      <c r="DI384" s="104"/>
      <c r="DJ384" s="104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104"/>
      <c r="DV384" s="104"/>
      <c r="DW384" s="104"/>
      <c r="DX384" s="104"/>
      <c r="DY384" s="104"/>
      <c r="DZ384" s="104"/>
      <c r="EA384" s="104"/>
      <c r="EB384" s="104"/>
      <c r="EC384" s="104"/>
      <c r="ED384" s="104"/>
      <c r="EE384" s="104"/>
      <c r="EF384" s="104"/>
      <c r="EG384" s="104"/>
      <c r="EH384" s="104"/>
      <c r="EI384" s="104"/>
      <c r="EJ384" s="104"/>
      <c r="EK384" s="104"/>
      <c r="EL384" s="104"/>
      <c r="EM384" s="104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04"/>
      <c r="EZ384" s="104"/>
      <c r="FA384" s="104"/>
      <c r="FB384" s="104"/>
      <c r="FC384" s="104"/>
      <c r="FD384" s="104"/>
      <c r="FE384" s="104"/>
      <c r="FF384" s="104"/>
      <c r="FG384" s="104"/>
      <c r="FH384" s="104"/>
      <c r="FI384" s="104"/>
      <c r="FJ384" s="104"/>
      <c r="FK384" s="104"/>
      <c r="FL384" s="104"/>
      <c r="FM384" s="104"/>
      <c r="FN384" s="104"/>
      <c r="FO384" s="104"/>
      <c r="FP384" s="104"/>
      <c r="FQ384" s="104"/>
      <c r="FR384" s="104"/>
      <c r="FS384" s="104"/>
      <c r="FT384" s="104"/>
      <c r="FU384" s="104"/>
      <c r="FV384" s="104"/>
      <c r="FW384" s="104"/>
      <c r="FX384" s="104"/>
      <c r="FY384" s="104"/>
      <c r="FZ384" s="104"/>
      <c r="GA384" s="104"/>
      <c r="GB384" s="104"/>
      <c r="GC384" s="104"/>
      <c r="GD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  <c r="HA384" s="104"/>
      <c r="HB384" s="104"/>
      <c r="HC384" s="104"/>
      <c r="HD384" s="104"/>
      <c r="HE384" s="104"/>
      <c r="HF384" s="104"/>
      <c r="HG384" s="104"/>
      <c r="HH384" s="104"/>
      <c r="HI384" s="104"/>
      <c r="HJ384" s="104"/>
      <c r="HK384" s="104"/>
      <c r="HL384" s="104"/>
      <c r="HM384" s="104"/>
      <c r="HN384" s="104"/>
      <c r="HO384" s="104"/>
      <c r="HP384" s="104"/>
      <c r="HQ384" s="104"/>
      <c r="HR384" s="104"/>
      <c r="HS384" s="104"/>
      <c r="HT384" s="104"/>
      <c r="HU384" s="104"/>
      <c r="HV384" s="104"/>
      <c r="HW384" s="104"/>
      <c r="HX384" s="104"/>
      <c r="HY384" s="104"/>
      <c r="HZ384" s="104"/>
      <c r="IA384" s="104"/>
      <c r="IB384" s="104"/>
      <c r="IC384" s="104"/>
      <c r="ID384" s="104"/>
      <c r="IE384" s="104"/>
      <c r="IF384" s="104"/>
      <c r="IG384" s="104"/>
      <c r="IH384" s="104"/>
      <c r="II384" s="104"/>
      <c r="IJ384" s="104"/>
      <c r="IK384" s="104"/>
      <c r="IL384" s="104"/>
      <c r="IM384" s="104"/>
      <c r="IN384" s="104"/>
      <c r="IO384" s="104"/>
      <c r="IP384" s="104"/>
      <c r="IQ384" s="104"/>
      <c r="IR384" s="104"/>
      <c r="IS384" s="104"/>
      <c r="IT384" s="104"/>
      <c r="IU384" s="104"/>
      <c r="IV384" s="104"/>
      <c r="IW384" s="104"/>
      <c r="IX384" s="104"/>
      <c r="IY384" s="104"/>
      <c r="IZ384" s="104"/>
      <c r="JA384" s="104"/>
    </row>
    <row r="385" spans="61:261" x14ac:dyDescent="0.2">
      <c r="BI385" s="104"/>
      <c r="BJ385" s="104"/>
      <c r="BK385" s="104"/>
      <c r="BL385" s="104"/>
      <c r="BM385" s="104"/>
      <c r="BN385" s="104"/>
      <c r="BO385" s="104"/>
      <c r="BP385" s="104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04"/>
      <c r="CE385" s="104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104"/>
      <c r="CT385" s="104"/>
      <c r="CU385" s="104"/>
      <c r="CV385" s="104"/>
      <c r="CW385" s="104"/>
      <c r="CX385" s="104"/>
      <c r="CY385" s="104"/>
      <c r="CZ385" s="104"/>
      <c r="DA385" s="104"/>
      <c r="DB385" s="104"/>
      <c r="DC385" s="104"/>
      <c r="DD385" s="104"/>
      <c r="DE385" s="104"/>
      <c r="DF385" s="104"/>
      <c r="DG385" s="104"/>
      <c r="DH385" s="104"/>
      <c r="DI385" s="104"/>
      <c r="DJ385" s="104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104"/>
      <c r="DV385" s="104"/>
      <c r="DW385" s="104"/>
      <c r="DX385" s="104"/>
      <c r="DY385" s="104"/>
      <c r="DZ385" s="104"/>
      <c r="EA385" s="104"/>
      <c r="EB385" s="104"/>
      <c r="EC385" s="104"/>
      <c r="ED385" s="104"/>
      <c r="EE385" s="104"/>
      <c r="EF385" s="104"/>
      <c r="EG385" s="104"/>
      <c r="EH385" s="104"/>
      <c r="EI385" s="104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04"/>
      <c r="EZ385" s="104"/>
      <c r="FA385" s="104"/>
      <c r="FB385" s="104"/>
      <c r="FC385" s="104"/>
      <c r="FD385" s="104"/>
      <c r="FE385" s="104"/>
      <c r="FF385" s="104"/>
      <c r="FG385" s="104"/>
      <c r="FH385" s="104"/>
      <c r="FI385" s="104"/>
      <c r="FJ385" s="104"/>
      <c r="FK385" s="104"/>
      <c r="FL385" s="104"/>
      <c r="FM385" s="104"/>
      <c r="FN385" s="104"/>
      <c r="FO385" s="104"/>
      <c r="FP385" s="104"/>
      <c r="FQ385" s="104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  <c r="HA385" s="104"/>
      <c r="HB385" s="104"/>
      <c r="HC385" s="104"/>
      <c r="HD385" s="104"/>
      <c r="HE385" s="104"/>
      <c r="HF385" s="104"/>
      <c r="HG385" s="104"/>
      <c r="HH385" s="104"/>
      <c r="HI385" s="104"/>
      <c r="HJ385" s="104"/>
      <c r="HK385" s="104"/>
      <c r="HL385" s="104"/>
      <c r="HM385" s="104"/>
      <c r="HN385" s="104"/>
      <c r="HO385" s="104"/>
      <c r="HP385" s="104"/>
      <c r="HQ385" s="104"/>
      <c r="HR385" s="104"/>
      <c r="HS385" s="104"/>
      <c r="HT385" s="104"/>
      <c r="HU385" s="104"/>
      <c r="HV385" s="104"/>
      <c r="HW385" s="104"/>
      <c r="HX385" s="104"/>
      <c r="HY385" s="104"/>
      <c r="HZ385" s="104"/>
      <c r="IA385" s="104"/>
      <c r="IB385" s="104"/>
      <c r="IC385" s="104"/>
      <c r="ID385" s="104"/>
      <c r="IE385" s="104"/>
      <c r="IF385" s="104"/>
      <c r="IG385" s="104"/>
      <c r="IH385" s="104"/>
      <c r="II385" s="104"/>
      <c r="IJ385" s="104"/>
      <c r="IK385" s="104"/>
      <c r="IL385" s="104"/>
      <c r="IM385" s="104"/>
      <c r="IN385" s="104"/>
      <c r="IO385" s="104"/>
      <c r="IP385" s="104"/>
      <c r="IQ385" s="104"/>
      <c r="IR385" s="104"/>
      <c r="IS385" s="104"/>
      <c r="IT385" s="104"/>
      <c r="IU385" s="104"/>
      <c r="IV385" s="104"/>
      <c r="IW385" s="104"/>
      <c r="IX385" s="104"/>
      <c r="IY385" s="104"/>
      <c r="IZ385" s="104"/>
      <c r="JA385" s="104"/>
    </row>
    <row r="386" spans="61:261" x14ac:dyDescent="0.2">
      <c r="BI386" s="104"/>
      <c r="BJ386" s="104"/>
      <c r="BK386" s="104"/>
      <c r="BL386" s="104"/>
      <c r="BM386" s="104"/>
      <c r="BN386" s="104"/>
      <c r="BO386" s="104"/>
      <c r="BP386" s="104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104"/>
      <c r="CT386" s="104"/>
      <c r="CU386" s="104"/>
      <c r="CV386" s="104"/>
      <c r="CW386" s="104"/>
      <c r="CX386" s="104"/>
      <c r="CY386" s="104"/>
      <c r="CZ386" s="104"/>
      <c r="DA386" s="104"/>
      <c r="DB386" s="104"/>
      <c r="DC386" s="104"/>
      <c r="DD386" s="104"/>
      <c r="DE386" s="104"/>
      <c r="DF386" s="104"/>
      <c r="DG386" s="104"/>
      <c r="DH386" s="104"/>
      <c r="DI386" s="104"/>
      <c r="DJ386" s="104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104"/>
      <c r="DV386" s="104"/>
      <c r="DW386" s="104"/>
      <c r="DX386" s="104"/>
      <c r="DY386" s="104"/>
      <c r="DZ386" s="104"/>
      <c r="EA386" s="104"/>
      <c r="EB386" s="104"/>
      <c r="EC386" s="104"/>
      <c r="ED386" s="104"/>
      <c r="EE386" s="104"/>
      <c r="EF386" s="104"/>
      <c r="EG386" s="104"/>
      <c r="EH386" s="104"/>
      <c r="EI386" s="104"/>
      <c r="EJ386" s="104"/>
      <c r="EK386" s="104"/>
      <c r="EL386" s="104"/>
      <c r="EM386" s="104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04"/>
      <c r="EZ386" s="104"/>
      <c r="FA386" s="104"/>
      <c r="FB386" s="104"/>
      <c r="FC386" s="104"/>
      <c r="FD386" s="104"/>
      <c r="FE386" s="104"/>
      <c r="FF386" s="104"/>
      <c r="FG386" s="104"/>
      <c r="FH386" s="104"/>
      <c r="FI386" s="104"/>
      <c r="FJ386" s="104"/>
      <c r="FK386" s="104"/>
      <c r="FL386" s="104"/>
      <c r="FM386" s="104"/>
      <c r="FN386" s="104"/>
      <c r="FO386" s="104"/>
      <c r="FP386" s="104"/>
      <c r="FQ386" s="104"/>
      <c r="FR386" s="104"/>
      <c r="FS386" s="104"/>
      <c r="FT386" s="104"/>
      <c r="FU386" s="104"/>
      <c r="FV386" s="104"/>
      <c r="FW386" s="104"/>
      <c r="FX386" s="104"/>
      <c r="FY386" s="104"/>
      <c r="FZ386" s="104"/>
      <c r="GA386" s="104"/>
      <c r="GB386" s="104"/>
      <c r="GC386" s="104"/>
      <c r="GD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  <c r="HA386" s="104"/>
      <c r="HB386" s="104"/>
      <c r="HC386" s="104"/>
      <c r="HD386" s="104"/>
      <c r="HE386" s="104"/>
      <c r="HF386" s="104"/>
      <c r="HG386" s="104"/>
      <c r="HH386" s="104"/>
      <c r="HI386" s="104"/>
      <c r="HJ386" s="104"/>
      <c r="HK386" s="104"/>
      <c r="HL386" s="104"/>
      <c r="HM386" s="104"/>
      <c r="HN386" s="104"/>
      <c r="HO386" s="104"/>
      <c r="HP386" s="104"/>
      <c r="HQ386" s="104"/>
      <c r="HR386" s="104"/>
      <c r="HS386" s="104"/>
      <c r="HT386" s="104"/>
      <c r="HU386" s="104"/>
      <c r="HV386" s="104"/>
      <c r="HW386" s="104"/>
      <c r="HX386" s="104"/>
      <c r="HY386" s="104"/>
      <c r="HZ386" s="104"/>
      <c r="IA386" s="104"/>
      <c r="IB386" s="104"/>
      <c r="IC386" s="104"/>
      <c r="ID386" s="104"/>
      <c r="IE386" s="104"/>
      <c r="IF386" s="104"/>
      <c r="IG386" s="104"/>
      <c r="IH386" s="104"/>
      <c r="II386" s="104"/>
      <c r="IJ386" s="104"/>
      <c r="IK386" s="104"/>
      <c r="IL386" s="104"/>
      <c r="IM386" s="104"/>
      <c r="IN386" s="104"/>
      <c r="IO386" s="104"/>
      <c r="IP386" s="104"/>
      <c r="IQ386" s="104"/>
      <c r="IR386" s="104"/>
      <c r="IS386" s="104"/>
      <c r="IT386" s="104"/>
      <c r="IU386" s="104"/>
      <c r="IV386" s="104"/>
      <c r="IW386" s="104"/>
      <c r="IX386" s="104"/>
      <c r="IY386" s="104"/>
      <c r="IZ386" s="104"/>
      <c r="JA386" s="104"/>
    </row>
    <row r="387" spans="61:261" x14ac:dyDescent="0.2">
      <c r="BI387" s="104"/>
      <c r="BJ387" s="104"/>
      <c r="BK387" s="104"/>
      <c r="BL387" s="104"/>
      <c r="BM387" s="104"/>
      <c r="BN387" s="104"/>
      <c r="BO387" s="104"/>
      <c r="BP387" s="104"/>
      <c r="BQ387" s="104"/>
      <c r="BR387" s="104"/>
      <c r="BS387" s="104"/>
      <c r="BT387" s="104"/>
      <c r="BU387" s="104"/>
      <c r="BV387" s="104"/>
      <c r="BW387" s="104"/>
      <c r="BX387" s="104"/>
      <c r="BY387" s="104"/>
      <c r="BZ387" s="104"/>
      <c r="CA387" s="104"/>
      <c r="CB387" s="104"/>
      <c r="CC387" s="104"/>
      <c r="CD387" s="104"/>
      <c r="CE387" s="104"/>
      <c r="CF387" s="104"/>
      <c r="CG387" s="104"/>
      <c r="CH387" s="104"/>
      <c r="CI387" s="104"/>
      <c r="CJ387" s="104"/>
      <c r="CK387" s="104"/>
      <c r="CL387" s="104"/>
      <c r="CM387" s="104"/>
      <c r="CN387" s="104"/>
      <c r="CO387" s="104"/>
      <c r="CP387" s="104"/>
      <c r="CQ387" s="104"/>
      <c r="CR387" s="104"/>
      <c r="CS387" s="104"/>
      <c r="CT387" s="104"/>
      <c r="CU387" s="104"/>
      <c r="CV387" s="104"/>
      <c r="CW387" s="104"/>
      <c r="CX387" s="104"/>
      <c r="CY387" s="104"/>
      <c r="CZ387" s="104"/>
      <c r="DA387" s="104"/>
      <c r="DB387" s="104"/>
      <c r="DC387" s="104"/>
      <c r="DD387" s="104"/>
      <c r="DE387" s="104"/>
      <c r="DF387" s="104"/>
      <c r="DG387" s="104"/>
      <c r="DH387" s="104"/>
      <c r="DI387" s="104"/>
      <c r="DJ387" s="104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104"/>
      <c r="DV387" s="104"/>
      <c r="DW387" s="104"/>
      <c r="DX387" s="104"/>
      <c r="DY387" s="104"/>
      <c r="DZ387" s="104"/>
      <c r="EA387" s="104"/>
      <c r="EB387" s="104"/>
      <c r="EC387" s="104"/>
      <c r="ED387" s="104"/>
      <c r="EE387" s="104"/>
      <c r="EF387" s="104"/>
      <c r="EG387" s="104"/>
      <c r="EH387" s="104"/>
      <c r="EI387" s="104"/>
      <c r="EJ387" s="104"/>
      <c r="EK387" s="104"/>
      <c r="EL387" s="104"/>
      <c r="EM387" s="104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04"/>
      <c r="EZ387" s="104"/>
      <c r="FA387" s="104"/>
      <c r="FB387" s="104"/>
      <c r="FC387" s="104"/>
      <c r="FD387" s="104"/>
      <c r="FE387" s="104"/>
      <c r="FF387" s="104"/>
      <c r="FG387" s="104"/>
      <c r="FH387" s="104"/>
      <c r="FI387" s="104"/>
      <c r="FJ387" s="104"/>
      <c r="FK387" s="104"/>
      <c r="FL387" s="104"/>
      <c r="FM387" s="104"/>
      <c r="FN387" s="104"/>
      <c r="FO387" s="104"/>
      <c r="FP387" s="104"/>
      <c r="FQ387" s="104"/>
      <c r="FR387" s="104"/>
      <c r="FS387" s="104"/>
      <c r="FT387" s="104"/>
      <c r="FU387" s="104"/>
      <c r="FV387" s="104"/>
      <c r="FW387" s="104"/>
      <c r="FX387" s="104"/>
      <c r="FY387" s="104"/>
      <c r="FZ387" s="104"/>
      <c r="GA387" s="104"/>
      <c r="GB387" s="104"/>
      <c r="GC387" s="104"/>
      <c r="GD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  <c r="HA387" s="104"/>
      <c r="HB387" s="104"/>
      <c r="HC387" s="104"/>
      <c r="HD387" s="104"/>
      <c r="HE387" s="104"/>
      <c r="HF387" s="104"/>
      <c r="HG387" s="104"/>
      <c r="HH387" s="104"/>
      <c r="HI387" s="104"/>
      <c r="HJ387" s="104"/>
      <c r="HK387" s="104"/>
      <c r="HL387" s="104"/>
      <c r="HM387" s="104"/>
      <c r="HN387" s="104"/>
      <c r="HO387" s="104"/>
      <c r="HP387" s="104"/>
      <c r="HQ387" s="104"/>
      <c r="HR387" s="104"/>
      <c r="HS387" s="104"/>
      <c r="HT387" s="104"/>
      <c r="HU387" s="104"/>
      <c r="HV387" s="104"/>
      <c r="HW387" s="104"/>
      <c r="HX387" s="104"/>
      <c r="HY387" s="104"/>
      <c r="HZ387" s="104"/>
      <c r="IA387" s="104"/>
      <c r="IB387" s="104"/>
      <c r="IC387" s="104"/>
      <c r="ID387" s="104"/>
      <c r="IE387" s="104"/>
      <c r="IF387" s="104"/>
      <c r="IG387" s="104"/>
      <c r="IH387" s="104"/>
      <c r="II387" s="104"/>
      <c r="IJ387" s="104"/>
      <c r="IK387" s="104"/>
      <c r="IL387" s="104"/>
      <c r="IM387" s="104"/>
      <c r="IN387" s="104"/>
      <c r="IO387" s="104"/>
      <c r="IP387" s="104"/>
      <c r="IQ387" s="104"/>
      <c r="IR387" s="104"/>
      <c r="IS387" s="104"/>
      <c r="IT387" s="104"/>
      <c r="IU387" s="104"/>
      <c r="IV387" s="104"/>
      <c r="IW387" s="104"/>
      <c r="IX387" s="104"/>
      <c r="IY387" s="104"/>
      <c r="IZ387" s="104"/>
      <c r="JA387" s="104"/>
    </row>
    <row r="388" spans="61:261" x14ac:dyDescent="0.2">
      <c r="BI388" s="104"/>
      <c r="BJ388" s="104"/>
      <c r="BK388" s="104"/>
      <c r="BL388" s="104"/>
      <c r="BM388" s="104"/>
      <c r="BN388" s="104"/>
      <c r="BO388" s="104"/>
      <c r="BP388" s="104"/>
      <c r="BQ388" s="104"/>
      <c r="BR388" s="104"/>
      <c r="BS388" s="104"/>
      <c r="BT388" s="104"/>
      <c r="BU388" s="104"/>
      <c r="BV388" s="104"/>
      <c r="BW388" s="104"/>
      <c r="BX388" s="104"/>
      <c r="BY388" s="104"/>
      <c r="BZ388" s="104"/>
      <c r="CA388" s="104"/>
      <c r="CB388" s="104"/>
      <c r="CC388" s="104"/>
      <c r="CD388" s="104"/>
      <c r="CE388" s="104"/>
      <c r="CF388" s="104"/>
      <c r="CG388" s="104"/>
      <c r="CH388" s="104"/>
      <c r="CI388" s="104"/>
      <c r="CJ388" s="104"/>
      <c r="CK388" s="104"/>
      <c r="CL388" s="104"/>
      <c r="CM388" s="104"/>
      <c r="CN388" s="104"/>
      <c r="CO388" s="104"/>
      <c r="CP388" s="104"/>
      <c r="CQ388" s="104"/>
      <c r="CR388" s="104"/>
      <c r="CS388" s="104"/>
      <c r="CT388" s="104"/>
      <c r="CU388" s="104"/>
      <c r="CV388" s="104"/>
      <c r="CW388" s="104"/>
      <c r="CX388" s="104"/>
      <c r="CY388" s="104"/>
      <c r="CZ388" s="104"/>
      <c r="DA388" s="104"/>
      <c r="DB388" s="104"/>
      <c r="DC388" s="104"/>
      <c r="DD388" s="104"/>
      <c r="DE388" s="104"/>
      <c r="DF388" s="104"/>
      <c r="DG388" s="104"/>
      <c r="DH388" s="104"/>
      <c r="DI388" s="104"/>
      <c r="DJ388" s="104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104"/>
      <c r="DV388" s="104"/>
      <c r="DW388" s="104"/>
      <c r="DX388" s="104"/>
      <c r="DY388" s="104"/>
      <c r="DZ388" s="104"/>
      <c r="EA388" s="104"/>
      <c r="EB388" s="104"/>
      <c r="EC388" s="104"/>
      <c r="ED388" s="104"/>
      <c r="EE388" s="104"/>
      <c r="EF388" s="104"/>
      <c r="EG388" s="104"/>
      <c r="EH388" s="104"/>
      <c r="EI388" s="104"/>
      <c r="EJ388" s="104"/>
      <c r="EK388" s="104"/>
      <c r="EL388" s="104"/>
      <c r="EM388" s="104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04"/>
      <c r="EZ388" s="104"/>
      <c r="FA388" s="104"/>
      <c r="FB388" s="104"/>
      <c r="FC388" s="104"/>
      <c r="FD388" s="104"/>
      <c r="FE388" s="104"/>
      <c r="FF388" s="104"/>
      <c r="FG388" s="104"/>
      <c r="FH388" s="104"/>
      <c r="FI388" s="104"/>
      <c r="FJ388" s="104"/>
      <c r="FK388" s="104"/>
      <c r="FL388" s="104"/>
      <c r="FM388" s="104"/>
      <c r="FN388" s="104"/>
      <c r="FO388" s="104"/>
      <c r="FP388" s="104"/>
      <c r="FQ388" s="104"/>
      <c r="FR388" s="104"/>
      <c r="FS388" s="104"/>
      <c r="FT388" s="104"/>
      <c r="FU388" s="104"/>
      <c r="FV388" s="104"/>
      <c r="FW388" s="104"/>
      <c r="FX388" s="104"/>
      <c r="FY388" s="104"/>
      <c r="FZ388" s="104"/>
      <c r="GA388" s="104"/>
      <c r="GB388" s="104"/>
      <c r="GC388" s="104"/>
      <c r="GD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  <c r="HA388" s="104"/>
      <c r="HB388" s="104"/>
      <c r="HC388" s="104"/>
      <c r="HD388" s="104"/>
      <c r="HE388" s="104"/>
      <c r="HF388" s="104"/>
      <c r="HG388" s="104"/>
      <c r="HH388" s="104"/>
      <c r="HI388" s="104"/>
      <c r="HJ388" s="104"/>
      <c r="HK388" s="104"/>
      <c r="HL388" s="104"/>
      <c r="HM388" s="104"/>
      <c r="HN388" s="104"/>
      <c r="HO388" s="104"/>
      <c r="HP388" s="104"/>
      <c r="HQ388" s="104"/>
      <c r="HR388" s="104"/>
      <c r="HS388" s="104"/>
      <c r="HT388" s="104"/>
      <c r="HU388" s="104"/>
      <c r="HV388" s="104"/>
      <c r="HW388" s="104"/>
      <c r="HX388" s="104"/>
      <c r="HY388" s="104"/>
      <c r="HZ388" s="104"/>
      <c r="IA388" s="104"/>
      <c r="IB388" s="104"/>
      <c r="IC388" s="104"/>
      <c r="ID388" s="104"/>
      <c r="IE388" s="104"/>
      <c r="IF388" s="104"/>
      <c r="IG388" s="104"/>
      <c r="IH388" s="104"/>
      <c r="II388" s="104"/>
      <c r="IJ388" s="104"/>
      <c r="IK388" s="104"/>
      <c r="IL388" s="104"/>
      <c r="IM388" s="104"/>
      <c r="IN388" s="104"/>
      <c r="IO388" s="104"/>
      <c r="IP388" s="104"/>
      <c r="IQ388" s="104"/>
      <c r="IR388" s="104"/>
      <c r="IS388" s="104"/>
      <c r="IT388" s="104"/>
      <c r="IU388" s="104"/>
      <c r="IV388" s="104"/>
      <c r="IW388" s="104"/>
      <c r="IX388" s="104"/>
      <c r="IY388" s="104"/>
      <c r="IZ388" s="104"/>
      <c r="JA388" s="104"/>
    </row>
    <row r="389" spans="61:261" x14ac:dyDescent="0.2">
      <c r="BI389" s="104"/>
      <c r="BJ389" s="104"/>
      <c r="BK389" s="104"/>
      <c r="BL389" s="104"/>
      <c r="BM389" s="104"/>
      <c r="BN389" s="104"/>
      <c r="BO389" s="104"/>
      <c r="BP389" s="104"/>
      <c r="BQ389" s="104"/>
      <c r="BR389" s="104"/>
      <c r="BS389" s="104"/>
      <c r="BT389" s="104"/>
      <c r="BU389" s="104"/>
      <c r="BV389" s="104"/>
      <c r="BW389" s="104"/>
      <c r="BX389" s="104"/>
      <c r="BY389" s="104"/>
      <c r="BZ389" s="104"/>
      <c r="CA389" s="104"/>
      <c r="CB389" s="104"/>
      <c r="CC389" s="104"/>
      <c r="CD389" s="104"/>
      <c r="CE389" s="104"/>
      <c r="CF389" s="104"/>
      <c r="CG389" s="104"/>
      <c r="CH389" s="104"/>
      <c r="CI389" s="104"/>
      <c r="CJ389" s="104"/>
      <c r="CK389" s="104"/>
      <c r="CL389" s="104"/>
      <c r="CM389" s="104"/>
      <c r="CN389" s="104"/>
      <c r="CO389" s="104"/>
      <c r="CP389" s="104"/>
      <c r="CQ389" s="104"/>
      <c r="CR389" s="104"/>
      <c r="CS389" s="104"/>
      <c r="CT389" s="104"/>
      <c r="CU389" s="104"/>
      <c r="CV389" s="104"/>
      <c r="CW389" s="104"/>
      <c r="CX389" s="104"/>
      <c r="CY389" s="104"/>
      <c r="CZ389" s="104"/>
      <c r="DA389" s="104"/>
      <c r="DB389" s="104"/>
      <c r="DC389" s="104"/>
      <c r="DD389" s="104"/>
      <c r="DE389" s="104"/>
      <c r="DF389" s="104"/>
      <c r="DG389" s="104"/>
      <c r="DH389" s="104"/>
      <c r="DI389" s="104"/>
      <c r="DJ389" s="104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104"/>
      <c r="DV389" s="104"/>
      <c r="DW389" s="104"/>
      <c r="DX389" s="104"/>
      <c r="DY389" s="104"/>
      <c r="DZ389" s="104"/>
      <c r="EA389" s="104"/>
      <c r="EB389" s="104"/>
      <c r="EC389" s="104"/>
      <c r="ED389" s="104"/>
      <c r="EE389" s="104"/>
      <c r="EF389" s="104"/>
      <c r="EG389" s="104"/>
      <c r="EH389" s="104"/>
      <c r="EI389" s="104"/>
      <c r="EJ389" s="104"/>
      <c r="EK389" s="104"/>
      <c r="EL389" s="104"/>
      <c r="EM389" s="104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04"/>
      <c r="EZ389" s="104"/>
      <c r="FA389" s="104"/>
      <c r="FB389" s="104"/>
      <c r="FC389" s="104"/>
      <c r="FD389" s="104"/>
      <c r="FE389" s="104"/>
      <c r="FF389" s="104"/>
      <c r="FG389" s="104"/>
      <c r="FH389" s="104"/>
      <c r="FI389" s="104"/>
      <c r="FJ389" s="104"/>
      <c r="FK389" s="104"/>
      <c r="FL389" s="104"/>
      <c r="FM389" s="104"/>
      <c r="FN389" s="104"/>
      <c r="FO389" s="104"/>
      <c r="FP389" s="104"/>
      <c r="FQ389" s="104"/>
      <c r="FR389" s="104"/>
      <c r="FS389" s="104"/>
      <c r="FT389" s="104"/>
      <c r="FU389" s="104"/>
      <c r="FV389" s="104"/>
      <c r="FW389" s="104"/>
      <c r="FX389" s="104"/>
      <c r="FY389" s="104"/>
      <c r="FZ389" s="104"/>
      <c r="GA389" s="104"/>
      <c r="GB389" s="104"/>
      <c r="GC389" s="104"/>
      <c r="GD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  <c r="HA389" s="104"/>
      <c r="HB389" s="104"/>
      <c r="HC389" s="104"/>
      <c r="HD389" s="104"/>
      <c r="HE389" s="104"/>
      <c r="HF389" s="104"/>
      <c r="HG389" s="104"/>
      <c r="HH389" s="104"/>
      <c r="HI389" s="104"/>
      <c r="HJ389" s="104"/>
      <c r="HK389" s="104"/>
      <c r="HL389" s="104"/>
      <c r="HM389" s="104"/>
      <c r="HN389" s="104"/>
      <c r="HO389" s="104"/>
      <c r="HP389" s="104"/>
      <c r="HQ389" s="104"/>
      <c r="HR389" s="104"/>
      <c r="HS389" s="104"/>
      <c r="HT389" s="104"/>
      <c r="HU389" s="104"/>
      <c r="HV389" s="104"/>
      <c r="HW389" s="104"/>
      <c r="HX389" s="104"/>
      <c r="HY389" s="104"/>
      <c r="HZ389" s="104"/>
      <c r="IA389" s="104"/>
      <c r="IB389" s="104"/>
      <c r="IC389" s="104"/>
      <c r="ID389" s="104"/>
      <c r="IE389" s="104"/>
      <c r="IF389" s="104"/>
      <c r="IG389" s="104"/>
      <c r="IH389" s="104"/>
      <c r="II389" s="104"/>
      <c r="IJ389" s="104"/>
      <c r="IK389" s="104"/>
      <c r="IL389" s="104"/>
      <c r="IM389" s="104"/>
      <c r="IN389" s="104"/>
      <c r="IO389" s="104"/>
      <c r="IP389" s="104"/>
      <c r="IQ389" s="104"/>
      <c r="IR389" s="104"/>
      <c r="IS389" s="104"/>
      <c r="IT389" s="104"/>
      <c r="IU389" s="104"/>
      <c r="IV389" s="104"/>
      <c r="IW389" s="104"/>
      <c r="IX389" s="104"/>
      <c r="IY389" s="104"/>
      <c r="IZ389" s="104"/>
      <c r="JA389" s="104"/>
    </row>
    <row r="390" spans="61:261" x14ac:dyDescent="0.2">
      <c r="BI390" s="104"/>
      <c r="BJ390" s="104"/>
      <c r="BK390" s="104"/>
      <c r="BL390" s="104"/>
      <c r="BM390" s="104"/>
      <c r="BN390" s="104"/>
      <c r="BO390" s="104"/>
      <c r="BP390" s="104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04"/>
      <c r="CE390" s="104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104"/>
      <c r="CT390" s="104"/>
      <c r="CU390" s="104"/>
      <c r="CV390" s="104"/>
      <c r="CW390" s="104"/>
      <c r="CX390" s="104"/>
      <c r="CY390" s="104"/>
      <c r="CZ390" s="104"/>
      <c r="DA390" s="104"/>
      <c r="DB390" s="104"/>
      <c r="DC390" s="104"/>
      <c r="DD390" s="104"/>
      <c r="DE390" s="104"/>
      <c r="DF390" s="104"/>
      <c r="DG390" s="104"/>
      <c r="DH390" s="104"/>
      <c r="DI390" s="104"/>
      <c r="DJ390" s="104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104"/>
      <c r="DV390" s="104"/>
      <c r="DW390" s="104"/>
      <c r="DX390" s="104"/>
      <c r="DY390" s="104"/>
      <c r="DZ390" s="104"/>
      <c r="EA390" s="104"/>
      <c r="EB390" s="104"/>
      <c r="EC390" s="104"/>
      <c r="ED390" s="104"/>
      <c r="EE390" s="104"/>
      <c r="EF390" s="104"/>
      <c r="EG390" s="104"/>
      <c r="EH390" s="104"/>
      <c r="EI390" s="104"/>
      <c r="EJ390" s="104"/>
      <c r="EK390" s="104"/>
      <c r="EL390" s="104"/>
      <c r="EM390" s="104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04"/>
      <c r="EZ390" s="104"/>
      <c r="FA390" s="104"/>
      <c r="FB390" s="104"/>
      <c r="FC390" s="104"/>
      <c r="FD390" s="104"/>
      <c r="FE390" s="104"/>
      <c r="FF390" s="104"/>
      <c r="FG390" s="104"/>
      <c r="FH390" s="104"/>
      <c r="FI390" s="104"/>
      <c r="FJ390" s="104"/>
      <c r="FK390" s="104"/>
      <c r="FL390" s="104"/>
      <c r="FM390" s="104"/>
      <c r="FN390" s="104"/>
      <c r="FO390" s="104"/>
      <c r="FP390" s="104"/>
      <c r="FQ390" s="104"/>
      <c r="FR390" s="104"/>
      <c r="FS390" s="104"/>
      <c r="FT390" s="104"/>
      <c r="FU390" s="104"/>
      <c r="FV390" s="104"/>
      <c r="FW390" s="104"/>
      <c r="FX390" s="104"/>
      <c r="FY390" s="104"/>
      <c r="FZ390" s="104"/>
      <c r="GA390" s="104"/>
      <c r="GB390" s="104"/>
      <c r="GC390" s="104"/>
      <c r="GD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  <c r="HA390" s="104"/>
      <c r="HB390" s="104"/>
      <c r="HC390" s="104"/>
      <c r="HD390" s="104"/>
      <c r="HE390" s="104"/>
      <c r="HF390" s="104"/>
      <c r="HG390" s="104"/>
      <c r="HH390" s="104"/>
      <c r="HI390" s="104"/>
      <c r="HJ390" s="104"/>
      <c r="HK390" s="104"/>
      <c r="HL390" s="104"/>
      <c r="HM390" s="104"/>
      <c r="HN390" s="104"/>
      <c r="HO390" s="104"/>
      <c r="HP390" s="104"/>
      <c r="HQ390" s="104"/>
      <c r="HR390" s="104"/>
      <c r="HS390" s="104"/>
      <c r="HT390" s="104"/>
      <c r="HU390" s="104"/>
      <c r="HV390" s="104"/>
      <c r="HW390" s="104"/>
      <c r="HX390" s="104"/>
      <c r="HY390" s="104"/>
      <c r="HZ390" s="104"/>
      <c r="IA390" s="104"/>
      <c r="IB390" s="104"/>
      <c r="IC390" s="104"/>
      <c r="ID390" s="104"/>
      <c r="IE390" s="104"/>
      <c r="IF390" s="104"/>
      <c r="IG390" s="104"/>
      <c r="IH390" s="104"/>
      <c r="II390" s="104"/>
      <c r="IJ390" s="104"/>
      <c r="IK390" s="104"/>
      <c r="IL390" s="104"/>
      <c r="IM390" s="104"/>
      <c r="IN390" s="104"/>
      <c r="IO390" s="104"/>
      <c r="IP390" s="104"/>
      <c r="IQ390" s="104"/>
      <c r="IR390" s="104"/>
      <c r="IS390" s="104"/>
      <c r="IT390" s="104"/>
      <c r="IU390" s="104"/>
      <c r="IV390" s="104"/>
      <c r="IW390" s="104"/>
      <c r="IX390" s="104"/>
      <c r="IY390" s="104"/>
      <c r="IZ390" s="104"/>
      <c r="JA390" s="104"/>
    </row>
    <row r="391" spans="61:261" x14ac:dyDescent="0.2">
      <c r="BI391" s="104"/>
      <c r="BJ391" s="104"/>
      <c r="BK391" s="104"/>
      <c r="BL391" s="104"/>
      <c r="BM391" s="104"/>
      <c r="BN391" s="104"/>
      <c r="BO391" s="104"/>
      <c r="BP391" s="104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104"/>
      <c r="CA391" s="104"/>
      <c r="CB391" s="104"/>
      <c r="CC391" s="104"/>
      <c r="CD391" s="104"/>
      <c r="CE391" s="104"/>
      <c r="CF391" s="104"/>
      <c r="CG391" s="104"/>
      <c r="CH391" s="104"/>
      <c r="CI391" s="104"/>
      <c r="CJ391" s="104"/>
      <c r="CK391" s="104"/>
      <c r="CL391" s="104"/>
      <c r="CM391" s="104"/>
      <c r="CN391" s="104"/>
      <c r="CO391" s="104"/>
      <c r="CP391" s="104"/>
      <c r="CQ391" s="104"/>
      <c r="CR391" s="104"/>
      <c r="CS391" s="104"/>
      <c r="CT391" s="104"/>
      <c r="CU391" s="104"/>
      <c r="CV391" s="104"/>
      <c r="CW391" s="104"/>
      <c r="CX391" s="104"/>
      <c r="CY391" s="104"/>
      <c r="CZ391" s="104"/>
      <c r="DA391" s="104"/>
      <c r="DB391" s="104"/>
      <c r="DC391" s="104"/>
      <c r="DD391" s="104"/>
      <c r="DE391" s="104"/>
      <c r="DF391" s="104"/>
      <c r="DG391" s="104"/>
      <c r="DH391" s="104"/>
      <c r="DI391" s="104"/>
      <c r="DJ391" s="104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104"/>
      <c r="DV391" s="104"/>
      <c r="DW391" s="104"/>
      <c r="DX391" s="104"/>
      <c r="DY391" s="104"/>
      <c r="DZ391" s="104"/>
      <c r="EA391" s="104"/>
      <c r="EB391" s="104"/>
      <c r="EC391" s="104"/>
      <c r="ED391" s="104"/>
      <c r="EE391" s="104"/>
      <c r="EF391" s="104"/>
      <c r="EG391" s="104"/>
      <c r="EH391" s="104"/>
      <c r="EI391" s="104"/>
      <c r="EJ391" s="104"/>
      <c r="EK391" s="104"/>
      <c r="EL391" s="104"/>
      <c r="EM391" s="104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04"/>
      <c r="EZ391" s="104"/>
      <c r="FA391" s="104"/>
      <c r="FB391" s="104"/>
      <c r="FC391" s="104"/>
      <c r="FD391" s="104"/>
      <c r="FE391" s="104"/>
      <c r="FF391" s="104"/>
      <c r="FG391" s="104"/>
      <c r="FH391" s="104"/>
      <c r="FI391" s="104"/>
      <c r="FJ391" s="104"/>
      <c r="FK391" s="104"/>
      <c r="FL391" s="104"/>
      <c r="FM391" s="104"/>
      <c r="FN391" s="104"/>
      <c r="FO391" s="104"/>
      <c r="FP391" s="104"/>
      <c r="FQ391" s="104"/>
      <c r="FR391" s="104"/>
      <c r="FS391" s="104"/>
      <c r="FT391" s="104"/>
      <c r="FU391" s="104"/>
      <c r="FV391" s="104"/>
      <c r="FW391" s="104"/>
      <c r="FX391" s="104"/>
      <c r="FY391" s="104"/>
      <c r="FZ391" s="104"/>
      <c r="GA391" s="104"/>
      <c r="GB391" s="104"/>
      <c r="GC391" s="104"/>
      <c r="GD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  <c r="HA391" s="104"/>
      <c r="HB391" s="104"/>
      <c r="HC391" s="104"/>
      <c r="HD391" s="104"/>
      <c r="HE391" s="104"/>
      <c r="HF391" s="104"/>
      <c r="HG391" s="104"/>
      <c r="HH391" s="104"/>
      <c r="HI391" s="104"/>
      <c r="HJ391" s="104"/>
      <c r="HK391" s="104"/>
      <c r="HL391" s="104"/>
      <c r="HM391" s="104"/>
      <c r="HN391" s="104"/>
      <c r="HO391" s="104"/>
      <c r="HP391" s="104"/>
      <c r="HQ391" s="104"/>
      <c r="HR391" s="104"/>
      <c r="HS391" s="104"/>
      <c r="HT391" s="104"/>
      <c r="HU391" s="104"/>
      <c r="HV391" s="104"/>
      <c r="HW391" s="104"/>
      <c r="HX391" s="104"/>
      <c r="HY391" s="104"/>
      <c r="HZ391" s="104"/>
      <c r="IA391" s="104"/>
      <c r="IB391" s="104"/>
      <c r="IC391" s="104"/>
      <c r="ID391" s="104"/>
      <c r="IE391" s="104"/>
      <c r="IF391" s="104"/>
      <c r="IG391" s="104"/>
      <c r="IH391" s="104"/>
      <c r="II391" s="104"/>
      <c r="IJ391" s="104"/>
      <c r="IK391" s="104"/>
      <c r="IL391" s="104"/>
      <c r="IM391" s="104"/>
      <c r="IN391" s="104"/>
      <c r="IO391" s="104"/>
      <c r="IP391" s="104"/>
      <c r="IQ391" s="104"/>
      <c r="IR391" s="104"/>
      <c r="IS391" s="104"/>
      <c r="IT391" s="104"/>
      <c r="IU391" s="104"/>
      <c r="IV391" s="104"/>
      <c r="IW391" s="104"/>
      <c r="IX391" s="104"/>
      <c r="IY391" s="104"/>
      <c r="IZ391" s="104"/>
      <c r="JA391" s="104"/>
    </row>
    <row r="392" spans="61:261" x14ac:dyDescent="0.2">
      <c r="BI392" s="104"/>
      <c r="BJ392" s="104"/>
      <c r="BK392" s="104"/>
      <c r="BL392" s="104"/>
      <c r="BM392" s="104"/>
      <c r="BN392" s="104"/>
      <c r="BO392" s="104"/>
      <c r="BP392" s="104"/>
      <c r="BQ392" s="104"/>
      <c r="BR392" s="104"/>
      <c r="BS392" s="104"/>
      <c r="BT392" s="104"/>
      <c r="BU392" s="104"/>
      <c r="BV392" s="104"/>
      <c r="BW392" s="104"/>
      <c r="BX392" s="104"/>
      <c r="BY392" s="104"/>
      <c r="BZ392" s="104"/>
      <c r="CA392" s="104"/>
      <c r="CB392" s="104"/>
      <c r="CC392" s="104"/>
      <c r="CD392" s="104"/>
      <c r="CE392" s="104"/>
      <c r="CF392" s="104"/>
      <c r="CG392" s="104"/>
      <c r="CH392" s="104"/>
      <c r="CI392" s="104"/>
      <c r="CJ392" s="104"/>
      <c r="CK392" s="104"/>
      <c r="CL392" s="104"/>
      <c r="CM392" s="104"/>
      <c r="CN392" s="104"/>
      <c r="CO392" s="104"/>
      <c r="CP392" s="104"/>
      <c r="CQ392" s="104"/>
      <c r="CR392" s="104"/>
      <c r="CS392" s="104"/>
      <c r="CT392" s="104"/>
      <c r="CU392" s="104"/>
      <c r="CV392" s="104"/>
      <c r="CW392" s="104"/>
      <c r="CX392" s="104"/>
      <c r="CY392" s="104"/>
      <c r="CZ392" s="104"/>
      <c r="DA392" s="104"/>
      <c r="DB392" s="104"/>
      <c r="DC392" s="104"/>
      <c r="DD392" s="104"/>
      <c r="DE392" s="104"/>
      <c r="DF392" s="104"/>
      <c r="DG392" s="104"/>
      <c r="DH392" s="104"/>
      <c r="DI392" s="104"/>
      <c r="DJ392" s="104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104"/>
      <c r="DV392" s="104"/>
      <c r="DW392" s="104"/>
      <c r="DX392" s="104"/>
      <c r="DY392" s="104"/>
      <c r="DZ392" s="104"/>
      <c r="EA392" s="104"/>
      <c r="EB392" s="104"/>
      <c r="EC392" s="104"/>
      <c r="ED392" s="104"/>
      <c r="EE392" s="104"/>
      <c r="EF392" s="104"/>
      <c r="EG392" s="104"/>
      <c r="EH392" s="104"/>
      <c r="EI392" s="104"/>
      <c r="EJ392" s="104"/>
      <c r="EK392" s="104"/>
      <c r="EL392" s="104"/>
      <c r="EM392" s="104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04"/>
      <c r="EZ392" s="104"/>
      <c r="FA392" s="104"/>
      <c r="FB392" s="104"/>
      <c r="FC392" s="104"/>
      <c r="FD392" s="104"/>
      <c r="FE392" s="104"/>
      <c r="FF392" s="104"/>
      <c r="FG392" s="104"/>
      <c r="FH392" s="104"/>
      <c r="FI392" s="104"/>
      <c r="FJ392" s="104"/>
      <c r="FK392" s="104"/>
      <c r="FL392" s="104"/>
      <c r="FM392" s="104"/>
      <c r="FN392" s="104"/>
      <c r="FO392" s="104"/>
      <c r="FP392" s="104"/>
      <c r="FQ392" s="104"/>
      <c r="FR392" s="104"/>
      <c r="FS392" s="104"/>
      <c r="FT392" s="104"/>
      <c r="FU392" s="104"/>
      <c r="FV392" s="104"/>
      <c r="FW392" s="104"/>
      <c r="FX392" s="104"/>
      <c r="FY392" s="104"/>
      <c r="FZ392" s="104"/>
      <c r="GA392" s="104"/>
      <c r="GB392" s="104"/>
      <c r="GC392" s="104"/>
      <c r="GD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  <c r="HA392" s="104"/>
      <c r="HB392" s="104"/>
      <c r="HC392" s="104"/>
      <c r="HD392" s="104"/>
      <c r="HE392" s="104"/>
      <c r="HF392" s="104"/>
      <c r="HG392" s="104"/>
      <c r="HH392" s="104"/>
      <c r="HI392" s="104"/>
      <c r="HJ392" s="104"/>
      <c r="HK392" s="104"/>
      <c r="HL392" s="104"/>
      <c r="HM392" s="104"/>
      <c r="HN392" s="104"/>
      <c r="HO392" s="104"/>
      <c r="HP392" s="104"/>
      <c r="HQ392" s="104"/>
      <c r="HR392" s="104"/>
      <c r="HS392" s="104"/>
      <c r="HT392" s="104"/>
      <c r="HU392" s="104"/>
      <c r="HV392" s="104"/>
      <c r="HW392" s="104"/>
      <c r="HX392" s="104"/>
      <c r="HY392" s="104"/>
      <c r="HZ392" s="104"/>
      <c r="IA392" s="104"/>
      <c r="IB392" s="104"/>
      <c r="IC392" s="104"/>
      <c r="ID392" s="104"/>
      <c r="IE392" s="104"/>
      <c r="IF392" s="104"/>
      <c r="IG392" s="104"/>
      <c r="IH392" s="104"/>
      <c r="II392" s="104"/>
      <c r="IJ392" s="104"/>
      <c r="IK392" s="104"/>
      <c r="IL392" s="104"/>
      <c r="IM392" s="104"/>
      <c r="IN392" s="104"/>
      <c r="IO392" s="104"/>
      <c r="IP392" s="104"/>
      <c r="IQ392" s="104"/>
      <c r="IR392" s="104"/>
      <c r="IS392" s="104"/>
      <c r="IT392" s="104"/>
      <c r="IU392" s="104"/>
      <c r="IV392" s="104"/>
      <c r="IW392" s="104"/>
      <c r="IX392" s="104"/>
      <c r="IY392" s="104"/>
      <c r="IZ392" s="104"/>
      <c r="JA392" s="104"/>
    </row>
    <row r="393" spans="61:261" x14ac:dyDescent="0.2">
      <c r="BI393" s="104"/>
      <c r="BJ393" s="104"/>
      <c r="BK393" s="104"/>
      <c r="BL393" s="104"/>
      <c r="BM393" s="104"/>
      <c r="BN393" s="104"/>
      <c r="BO393" s="104"/>
      <c r="BP393" s="104"/>
      <c r="BQ393" s="104"/>
      <c r="BR393" s="104"/>
      <c r="BS393" s="104"/>
      <c r="BT393" s="104"/>
      <c r="BU393" s="104"/>
      <c r="BV393" s="104"/>
      <c r="BW393" s="104"/>
      <c r="BX393" s="104"/>
      <c r="BY393" s="104"/>
      <c r="BZ393" s="104"/>
      <c r="CA393" s="104"/>
      <c r="CB393" s="104"/>
      <c r="CC393" s="104"/>
      <c r="CD393" s="104"/>
      <c r="CE393" s="104"/>
      <c r="CF393" s="104"/>
      <c r="CG393" s="104"/>
      <c r="CH393" s="104"/>
      <c r="CI393" s="104"/>
      <c r="CJ393" s="104"/>
      <c r="CK393" s="104"/>
      <c r="CL393" s="104"/>
      <c r="CM393" s="104"/>
      <c r="CN393" s="104"/>
      <c r="CO393" s="104"/>
      <c r="CP393" s="104"/>
      <c r="CQ393" s="104"/>
      <c r="CR393" s="104"/>
      <c r="CS393" s="104"/>
      <c r="CT393" s="104"/>
      <c r="CU393" s="104"/>
      <c r="CV393" s="104"/>
      <c r="CW393" s="104"/>
      <c r="CX393" s="104"/>
      <c r="CY393" s="104"/>
      <c r="CZ393" s="104"/>
      <c r="DA393" s="104"/>
      <c r="DB393" s="104"/>
      <c r="DC393" s="104"/>
      <c r="DD393" s="104"/>
      <c r="DE393" s="104"/>
      <c r="DF393" s="104"/>
      <c r="DG393" s="104"/>
      <c r="DH393" s="104"/>
      <c r="DI393" s="104"/>
      <c r="DJ393" s="104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104"/>
      <c r="DV393" s="104"/>
      <c r="DW393" s="104"/>
      <c r="DX393" s="104"/>
      <c r="DY393" s="104"/>
      <c r="DZ393" s="104"/>
      <c r="EA393" s="104"/>
      <c r="EB393" s="104"/>
      <c r="EC393" s="104"/>
      <c r="ED393" s="104"/>
      <c r="EE393" s="104"/>
      <c r="EF393" s="104"/>
      <c r="EG393" s="104"/>
      <c r="EH393" s="104"/>
      <c r="EI393" s="104"/>
      <c r="EJ393" s="104"/>
      <c r="EK393" s="104"/>
      <c r="EL393" s="104"/>
      <c r="EM393" s="104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04"/>
      <c r="EZ393" s="104"/>
      <c r="FA393" s="104"/>
      <c r="FB393" s="104"/>
      <c r="FC393" s="104"/>
      <c r="FD393" s="104"/>
      <c r="FE393" s="104"/>
      <c r="FF393" s="104"/>
      <c r="FG393" s="104"/>
      <c r="FH393" s="104"/>
      <c r="FI393" s="104"/>
      <c r="FJ393" s="104"/>
      <c r="FK393" s="104"/>
      <c r="FL393" s="104"/>
      <c r="FM393" s="104"/>
      <c r="FN393" s="104"/>
      <c r="FO393" s="104"/>
      <c r="FP393" s="104"/>
      <c r="FQ393" s="104"/>
      <c r="FR393" s="104"/>
      <c r="FS393" s="104"/>
      <c r="FT393" s="104"/>
      <c r="FU393" s="104"/>
      <c r="FV393" s="104"/>
      <c r="FW393" s="104"/>
      <c r="FX393" s="104"/>
      <c r="FY393" s="104"/>
      <c r="FZ393" s="104"/>
      <c r="GA393" s="104"/>
      <c r="GB393" s="104"/>
      <c r="GC393" s="104"/>
      <c r="GD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  <c r="HA393" s="104"/>
      <c r="HB393" s="104"/>
      <c r="HC393" s="104"/>
      <c r="HD393" s="104"/>
      <c r="HE393" s="104"/>
      <c r="HF393" s="104"/>
      <c r="HG393" s="104"/>
      <c r="HH393" s="104"/>
      <c r="HI393" s="104"/>
      <c r="HJ393" s="104"/>
      <c r="HK393" s="104"/>
      <c r="HL393" s="104"/>
      <c r="HM393" s="104"/>
      <c r="HN393" s="104"/>
      <c r="HO393" s="104"/>
      <c r="HP393" s="104"/>
      <c r="HQ393" s="104"/>
      <c r="HR393" s="104"/>
      <c r="HS393" s="104"/>
      <c r="HT393" s="104"/>
      <c r="HU393" s="104"/>
      <c r="HV393" s="104"/>
      <c r="HW393" s="104"/>
      <c r="HX393" s="104"/>
      <c r="HY393" s="104"/>
      <c r="HZ393" s="104"/>
      <c r="IA393" s="104"/>
      <c r="IB393" s="104"/>
      <c r="IC393" s="104"/>
      <c r="ID393" s="104"/>
      <c r="IE393" s="104"/>
      <c r="IF393" s="104"/>
      <c r="IG393" s="104"/>
      <c r="IH393" s="104"/>
      <c r="II393" s="104"/>
      <c r="IJ393" s="104"/>
      <c r="IK393" s="104"/>
      <c r="IL393" s="104"/>
      <c r="IM393" s="104"/>
      <c r="IN393" s="104"/>
      <c r="IO393" s="104"/>
      <c r="IP393" s="104"/>
      <c r="IQ393" s="104"/>
      <c r="IR393" s="104"/>
      <c r="IS393" s="104"/>
      <c r="IT393" s="104"/>
      <c r="IU393" s="104"/>
      <c r="IV393" s="104"/>
      <c r="IW393" s="104"/>
      <c r="IX393" s="104"/>
      <c r="IY393" s="104"/>
      <c r="IZ393" s="104"/>
      <c r="JA393" s="104"/>
    </row>
    <row r="394" spans="61:261" x14ac:dyDescent="0.2">
      <c r="BI394" s="104"/>
      <c r="BJ394" s="104"/>
      <c r="BK394" s="104"/>
      <c r="BL394" s="104"/>
      <c r="BM394" s="104"/>
      <c r="BN394" s="104"/>
      <c r="BO394" s="104"/>
      <c r="BP394" s="104"/>
      <c r="BQ394" s="104"/>
      <c r="BR394" s="104"/>
      <c r="BS394" s="104"/>
      <c r="BT394" s="104"/>
      <c r="BU394" s="104"/>
      <c r="BV394" s="104"/>
      <c r="BW394" s="104"/>
      <c r="BX394" s="104"/>
      <c r="BY394" s="104"/>
      <c r="BZ394" s="104"/>
      <c r="CA394" s="104"/>
      <c r="CB394" s="104"/>
      <c r="CC394" s="104"/>
      <c r="CD394" s="104"/>
      <c r="CE394" s="104"/>
      <c r="CF394" s="104"/>
      <c r="CG394" s="104"/>
      <c r="CH394" s="104"/>
      <c r="CI394" s="104"/>
      <c r="CJ394" s="104"/>
      <c r="CK394" s="104"/>
      <c r="CL394" s="104"/>
      <c r="CM394" s="104"/>
      <c r="CN394" s="104"/>
      <c r="CO394" s="104"/>
      <c r="CP394" s="104"/>
      <c r="CQ394" s="104"/>
      <c r="CR394" s="104"/>
      <c r="CS394" s="104"/>
      <c r="CT394" s="104"/>
      <c r="CU394" s="104"/>
      <c r="CV394" s="104"/>
      <c r="CW394" s="104"/>
      <c r="CX394" s="104"/>
      <c r="CY394" s="104"/>
      <c r="CZ394" s="104"/>
      <c r="DA394" s="104"/>
      <c r="DB394" s="104"/>
      <c r="DC394" s="104"/>
      <c r="DD394" s="104"/>
      <c r="DE394" s="104"/>
      <c r="DF394" s="104"/>
      <c r="DG394" s="104"/>
      <c r="DH394" s="104"/>
      <c r="DI394" s="104"/>
      <c r="DJ394" s="104"/>
      <c r="DK394" s="104"/>
      <c r="DL394" s="104"/>
      <c r="DM394" s="104"/>
      <c r="DN394" s="104"/>
      <c r="DO394" s="104"/>
      <c r="DP394" s="104"/>
      <c r="DQ394" s="104"/>
      <c r="DR394" s="104"/>
      <c r="DS394" s="104"/>
      <c r="DT394" s="104"/>
      <c r="DU394" s="104"/>
      <c r="DV394" s="104"/>
      <c r="DW394" s="104"/>
      <c r="DX394" s="104"/>
      <c r="DY394" s="104"/>
      <c r="DZ394" s="104"/>
      <c r="EA394" s="104"/>
      <c r="EB394" s="104"/>
      <c r="EC394" s="104"/>
      <c r="ED394" s="104"/>
      <c r="EE394" s="104"/>
      <c r="EF394" s="104"/>
      <c r="EG394" s="104"/>
      <c r="EH394" s="104"/>
      <c r="EI394" s="104"/>
      <c r="EJ394" s="104"/>
      <c r="EK394" s="104"/>
      <c r="EL394" s="104"/>
      <c r="EM394" s="104"/>
      <c r="EN394" s="104"/>
      <c r="EO394" s="104"/>
      <c r="EP394" s="104"/>
      <c r="EQ394" s="104"/>
      <c r="ER394" s="104"/>
      <c r="ES394" s="104"/>
      <c r="ET394" s="104"/>
      <c r="EU394" s="104"/>
      <c r="EV394" s="104"/>
      <c r="EW394" s="104"/>
      <c r="EX394" s="104"/>
      <c r="EY394" s="104"/>
      <c r="EZ394" s="104"/>
      <c r="FA394" s="104"/>
      <c r="FB394" s="104"/>
      <c r="FC394" s="104"/>
      <c r="FD394" s="104"/>
      <c r="FE394" s="104"/>
      <c r="FF394" s="104"/>
      <c r="FG394" s="104"/>
      <c r="FH394" s="104"/>
      <c r="FI394" s="104"/>
      <c r="FJ394" s="104"/>
      <c r="FK394" s="104"/>
      <c r="FL394" s="104"/>
      <c r="FM394" s="104"/>
      <c r="FN394" s="104"/>
      <c r="FO394" s="104"/>
      <c r="FP394" s="104"/>
      <c r="FQ394" s="104"/>
      <c r="FR394" s="104"/>
      <c r="FS394" s="104"/>
      <c r="FT394" s="104"/>
      <c r="FU394" s="104"/>
      <c r="FV394" s="104"/>
      <c r="FW394" s="104"/>
      <c r="FX394" s="104"/>
      <c r="FY394" s="104"/>
      <c r="FZ394" s="104"/>
      <c r="GA394" s="104"/>
      <c r="GB394" s="104"/>
      <c r="GC394" s="104"/>
      <c r="GD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  <c r="HA394" s="104"/>
      <c r="HB394" s="104"/>
      <c r="HC394" s="104"/>
      <c r="HD394" s="104"/>
      <c r="HE394" s="104"/>
      <c r="HF394" s="104"/>
      <c r="HG394" s="104"/>
      <c r="HH394" s="104"/>
      <c r="HI394" s="104"/>
      <c r="HJ394" s="104"/>
      <c r="HK394" s="104"/>
      <c r="HL394" s="104"/>
      <c r="HM394" s="104"/>
      <c r="HN394" s="104"/>
      <c r="HO394" s="104"/>
      <c r="HP394" s="104"/>
      <c r="HQ394" s="104"/>
      <c r="HR394" s="104"/>
      <c r="HS394" s="104"/>
      <c r="HT394" s="104"/>
      <c r="HU394" s="104"/>
      <c r="HV394" s="104"/>
      <c r="HW394" s="104"/>
      <c r="HX394" s="104"/>
      <c r="HY394" s="104"/>
      <c r="HZ394" s="104"/>
      <c r="IA394" s="104"/>
      <c r="IB394" s="104"/>
      <c r="IC394" s="104"/>
      <c r="ID394" s="104"/>
      <c r="IE394" s="104"/>
      <c r="IF394" s="104"/>
      <c r="IG394" s="104"/>
      <c r="IH394" s="104"/>
      <c r="II394" s="104"/>
      <c r="IJ394" s="104"/>
      <c r="IK394" s="104"/>
      <c r="IL394" s="104"/>
      <c r="IM394" s="104"/>
      <c r="IN394" s="104"/>
      <c r="IO394" s="104"/>
      <c r="IP394" s="104"/>
      <c r="IQ394" s="104"/>
      <c r="IR394" s="104"/>
      <c r="IS394" s="104"/>
      <c r="IT394" s="104"/>
      <c r="IU394" s="104"/>
      <c r="IV394" s="104"/>
      <c r="IW394" s="104"/>
      <c r="IX394" s="104"/>
      <c r="IY394" s="104"/>
      <c r="IZ394" s="104"/>
      <c r="JA394" s="104"/>
    </row>
    <row r="395" spans="61:261" x14ac:dyDescent="0.2">
      <c r="BI395" s="104"/>
      <c r="BJ395" s="104"/>
      <c r="BK395" s="104"/>
      <c r="BL395" s="104"/>
      <c r="BM395" s="104"/>
      <c r="BN395" s="104"/>
      <c r="BO395" s="104"/>
      <c r="BP395" s="104"/>
      <c r="BQ395" s="104"/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4"/>
      <c r="CB395" s="104"/>
      <c r="CC395" s="104"/>
      <c r="CD395" s="104"/>
      <c r="CE395" s="104"/>
      <c r="CF395" s="104"/>
      <c r="CG395" s="104"/>
      <c r="CH395" s="104"/>
      <c r="CI395" s="104"/>
      <c r="CJ395" s="104"/>
      <c r="CK395" s="104"/>
      <c r="CL395" s="104"/>
      <c r="CM395" s="104"/>
      <c r="CN395" s="104"/>
      <c r="CO395" s="104"/>
      <c r="CP395" s="104"/>
      <c r="CQ395" s="104"/>
      <c r="CR395" s="104"/>
      <c r="CS395" s="104"/>
      <c r="CT395" s="104"/>
      <c r="CU395" s="104"/>
      <c r="CV395" s="104"/>
      <c r="CW395" s="104"/>
      <c r="CX395" s="104"/>
      <c r="CY395" s="104"/>
      <c r="CZ395" s="104"/>
      <c r="DA395" s="104"/>
      <c r="DB395" s="104"/>
      <c r="DC395" s="104"/>
      <c r="DD395" s="104"/>
      <c r="DE395" s="104"/>
      <c r="DF395" s="104"/>
      <c r="DG395" s="104"/>
      <c r="DH395" s="104"/>
      <c r="DI395" s="104"/>
      <c r="DJ395" s="104"/>
      <c r="DK395" s="104"/>
      <c r="DL395" s="104"/>
      <c r="DM395" s="104"/>
      <c r="DN395" s="104"/>
      <c r="DO395" s="104"/>
      <c r="DP395" s="104"/>
      <c r="DQ395" s="104"/>
      <c r="DR395" s="104"/>
      <c r="DS395" s="104"/>
      <c r="DT395" s="104"/>
      <c r="DU395" s="104"/>
      <c r="DV395" s="104"/>
      <c r="DW395" s="104"/>
      <c r="DX395" s="104"/>
      <c r="DY395" s="104"/>
      <c r="DZ395" s="104"/>
      <c r="EA395" s="104"/>
      <c r="EB395" s="104"/>
      <c r="EC395" s="104"/>
      <c r="ED395" s="104"/>
      <c r="EE395" s="104"/>
      <c r="EF395" s="104"/>
      <c r="EG395" s="104"/>
      <c r="EH395" s="104"/>
      <c r="EI395" s="104"/>
      <c r="EJ395" s="104"/>
      <c r="EK395" s="104"/>
      <c r="EL395" s="104"/>
      <c r="EM395" s="104"/>
      <c r="EN395" s="104"/>
      <c r="EO395" s="104"/>
      <c r="EP395" s="104"/>
      <c r="EQ395" s="104"/>
      <c r="ER395" s="104"/>
      <c r="ES395" s="104"/>
      <c r="ET395" s="104"/>
      <c r="EU395" s="104"/>
      <c r="EV395" s="104"/>
      <c r="EW395" s="104"/>
      <c r="EX395" s="104"/>
      <c r="EY395" s="104"/>
      <c r="EZ395" s="104"/>
      <c r="FA395" s="104"/>
      <c r="FB395" s="104"/>
      <c r="FC395" s="104"/>
      <c r="FD395" s="104"/>
      <c r="FE395" s="104"/>
      <c r="FF395" s="104"/>
      <c r="FG395" s="104"/>
      <c r="FH395" s="104"/>
      <c r="FI395" s="104"/>
      <c r="FJ395" s="104"/>
      <c r="FK395" s="104"/>
      <c r="FL395" s="104"/>
      <c r="FM395" s="104"/>
      <c r="FN395" s="104"/>
      <c r="FO395" s="104"/>
      <c r="FP395" s="104"/>
      <c r="FQ395" s="104"/>
      <c r="FR395" s="104"/>
      <c r="FS395" s="104"/>
      <c r="FT395" s="104"/>
      <c r="FU395" s="104"/>
      <c r="FV395" s="104"/>
      <c r="FW395" s="104"/>
      <c r="FX395" s="104"/>
      <c r="FY395" s="104"/>
      <c r="FZ395" s="104"/>
      <c r="GA395" s="104"/>
      <c r="GB395" s="104"/>
      <c r="GC395" s="104"/>
      <c r="GD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  <c r="HA395" s="104"/>
      <c r="HB395" s="104"/>
      <c r="HC395" s="104"/>
      <c r="HD395" s="104"/>
      <c r="HE395" s="104"/>
      <c r="HF395" s="104"/>
      <c r="HG395" s="104"/>
      <c r="HH395" s="104"/>
      <c r="HI395" s="104"/>
      <c r="HJ395" s="104"/>
      <c r="HK395" s="104"/>
      <c r="HL395" s="104"/>
      <c r="HM395" s="104"/>
      <c r="HN395" s="104"/>
      <c r="HO395" s="104"/>
      <c r="HP395" s="104"/>
      <c r="HQ395" s="104"/>
      <c r="HR395" s="104"/>
      <c r="HS395" s="104"/>
      <c r="HT395" s="104"/>
      <c r="HU395" s="104"/>
      <c r="HV395" s="104"/>
      <c r="HW395" s="104"/>
      <c r="HX395" s="104"/>
      <c r="HY395" s="104"/>
      <c r="HZ395" s="104"/>
      <c r="IA395" s="104"/>
      <c r="IB395" s="104"/>
      <c r="IC395" s="104"/>
      <c r="ID395" s="104"/>
      <c r="IE395" s="104"/>
      <c r="IF395" s="104"/>
      <c r="IG395" s="104"/>
      <c r="IH395" s="104"/>
      <c r="II395" s="104"/>
      <c r="IJ395" s="104"/>
      <c r="IK395" s="104"/>
      <c r="IL395" s="104"/>
      <c r="IM395" s="104"/>
      <c r="IN395" s="104"/>
      <c r="IO395" s="104"/>
      <c r="IP395" s="104"/>
      <c r="IQ395" s="104"/>
      <c r="IR395" s="104"/>
      <c r="IS395" s="104"/>
      <c r="IT395" s="104"/>
      <c r="IU395" s="104"/>
      <c r="IV395" s="104"/>
      <c r="IW395" s="104"/>
      <c r="IX395" s="104"/>
      <c r="IY395" s="104"/>
      <c r="IZ395" s="104"/>
      <c r="JA395" s="104"/>
    </row>
    <row r="396" spans="61:261" x14ac:dyDescent="0.2">
      <c r="BI396" s="104"/>
      <c r="BJ396" s="104"/>
      <c r="BK396" s="104"/>
      <c r="BL396" s="104"/>
      <c r="BM396" s="104"/>
      <c r="BN396" s="104"/>
      <c r="BO396" s="104"/>
      <c r="BP396" s="104"/>
      <c r="BQ396" s="104"/>
      <c r="BR396" s="104"/>
      <c r="BS396" s="104"/>
      <c r="BT396" s="104"/>
      <c r="BU396" s="104"/>
      <c r="BV396" s="104"/>
      <c r="BW396" s="104"/>
      <c r="BX396" s="104"/>
      <c r="BY396" s="104"/>
      <c r="BZ396" s="104"/>
      <c r="CA396" s="104"/>
      <c r="CB396" s="104"/>
      <c r="CC396" s="104"/>
      <c r="CD396" s="104"/>
      <c r="CE396" s="104"/>
      <c r="CF396" s="104"/>
      <c r="CG396" s="104"/>
      <c r="CH396" s="104"/>
      <c r="CI396" s="104"/>
      <c r="CJ396" s="104"/>
      <c r="CK396" s="104"/>
      <c r="CL396" s="104"/>
      <c r="CM396" s="104"/>
      <c r="CN396" s="104"/>
      <c r="CO396" s="104"/>
      <c r="CP396" s="104"/>
      <c r="CQ396" s="104"/>
      <c r="CR396" s="104"/>
      <c r="CS396" s="104"/>
      <c r="CT396" s="104"/>
      <c r="CU396" s="104"/>
      <c r="CV396" s="104"/>
      <c r="CW396" s="104"/>
      <c r="CX396" s="104"/>
      <c r="CY396" s="104"/>
      <c r="CZ396" s="104"/>
      <c r="DA396" s="104"/>
      <c r="DB396" s="104"/>
      <c r="DC396" s="104"/>
      <c r="DD396" s="104"/>
      <c r="DE396" s="104"/>
      <c r="DF396" s="104"/>
      <c r="DG396" s="104"/>
      <c r="DH396" s="104"/>
      <c r="DI396" s="104"/>
      <c r="DJ396" s="104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104"/>
      <c r="DV396" s="104"/>
      <c r="DW396" s="104"/>
      <c r="DX396" s="104"/>
      <c r="DY396" s="104"/>
      <c r="DZ396" s="104"/>
      <c r="EA396" s="104"/>
      <c r="EB396" s="104"/>
      <c r="EC396" s="104"/>
      <c r="ED396" s="104"/>
      <c r="EE396" s="104"/>
      <c r="EF396" s="104"/>
      <c r="EG396" s="104"/>
      <c r="EH396" s="104"/>
      <c r="EI396" s="104"/>
      <c r="EJ396" s="104"/>
      <c r="EK396" s="104"/>
      <c r="EL396" s="104"/>
      <c r="EM396" s="104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04"/>
      <c r="EZ396" s="104"/>
      <c r="FA396" s="104"/>
      <c r="FB396" s="104"/>
      <c r="FC396" s="104"/>
      <c r="FD396" s="104"/>
      <c r="FE396" s="104"/>
      <c r="FF396" s="104"/>
      <c r="FG396" s="104"/>
      <c r="FH396" s="104"/>
      <c r="FI396" s="104"/>
      <c r="FJ396" s="104"/>
      <c r="FK396" s="104"/>
      <c r="FL396" s="104"/>
      <c r="FM396" s="104"/>
      <c r="FN396" s="104"/>
      <c r="FO396" s="104"/>
      <c r="FP396" s="104"/>
      <c r="FQ396" s="104"/>
      <c r="FR396" s="104"/>
      <c r="FS396" s="104"/>
      <c r="FT396" s="104"/>
      <c r="FU396" s="104"/>
      <c r="FV396" s="104"/>
      <c r="FW396" s="104"/>
      <c r="FX396" s="104"/>
      <c r="FY396" s="104"/>
      <c r="FZ396" s="104"/>
      <c r="GA396" s="104"/>
      <c r="GB396" s="104"/>
      <c r="GC396" s="104"/>
      <c r="GD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  <c r="HA396" s="104"/>
      <c r="HB396" s="104"/>
      <c r="HC396" s="104"/>
      <c r="HD396" s="104"/>
      <c r="HE396" s="104"/>
      <c r="HF396" s="104"/>
      <c r="HG396" s="104"/>
      <c r="HH396" s="104"/>
      <c r="HI396" s="104"/>
      <c r="HJ396" s="104"/>
      <c r="HK396" s="104"/>
      <c r="HL396" s="104"/>
      <c r="HM396" s="104"/>
      <c r="HN396" s="104"/>
      <c r="HO396" s="104"/>
      <c r="HP396" s="104"/>
      <c r="HQ396" s="104"/>
      <c r="HR396" s="104"/>
      <c r="HS396" s="104"/>
      <c r="HT396" s="104"/>
      <c r="HU396" s="104"/>
      <c r="HV396" s="104"/>
      <c r="HW396" s="104"/>
      <c r="HX396" s="104"/>
      <c r="HY396" s="104"/>
      <c r="HZ396" s="104"/>
      <c r="IA396" s="104"/>
      <c r="IB396" s="104"/>
      <c r="IC396" s="104"/>
      <c r="ID396" s="104"/>
      <c r="IE396" s="104"/>
      <c r="IF396" s="104"/>
      <c r="IG396" s="104"/>
      <c r="IH396" s="104"/>
      <c r="II396" s="104"/>
      <c r="IJ396" s="104"/>
      <c r="IK396" s="104"/>
      <c r="IL396" s="104"/>
      <c r="IM396" s="104"/>
      <c r="IN396" s="104"/>
      <c r="IO396" s="104"/>
      <c r="IP396" s="104"/>
      <c r="IQ396" s="104"/>
      <c r="IR396" s="104"/>
      <c r="IS396" s="104"/>
      <c r="IT396" s="104"/>
      <c r="IU396" s="104"/>
      <c r="IV396" s="104"/>
      <c r="IW396" s="104"/>
      <c r="IX396" s="104"/>
      <c r="IY396" s="104"/>
      <c r="IZ396" s="104"/>
      <c r="JA396" s="104"/>
    </row>
    <row r="397" spans="61:261" x14ac:dyDescent="0.2">
      <c r="BI397" s="104"/>
      <c r="BJ397" s="104"/>
      <c r="BK397" s="104"/>
      <c r="BL397" s="104"/>
      <c r="BM397" s="104"/>
      <c r="BN397" s="104"/>
      <c r="BO397" s="104"/>
      <c r="BP397" s="104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04"/>
      <c r="CE397" s="104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104"/>
      <c r="CT397" s="104"/>
      <c r="CU397" s="104"/>
      <c r="CV397" s="104"/>
      <c r="CW397" s="104"/>
      <c r="CX397" s="104"/>
      <c r="CY397" s="104"/>
      <c r="CZ397" s="104"/>
      <c r="DA397" s="104"/>
      <c r="DB397" s="104"/>
      <c r="DC397" s="104"/>
      <c r="DD397" s="104"/>
      <c r="DE397" s="104"/>
      <c r="DF397" s="104"/>
      <c r="DG397" s="104"/>
      <c r="DH397" s="104"/>
      <c r="DI397" s="104"/>
      <c r="DJ397" s="104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104"/>
      <c r="DV397" s="104"/>
      <c r="DW397" s="104"/>
      <c r="DX397" s="104"/>
      <c r="DY397" s="104"/>
      <c r="DZ397" s="104"/>
      <c r="EA397" s="104"/>
      <c r="EB397" s="104"/>
      <c r="EC397" s="104"/>
      <c r="ED397" s="104"/>
      <c r="EE397" s="104"/>
      <c r="EF397" s="104"/>
      <c r="EG397" s="104"/>
      <c r="EH397" s="104"/>
      <c r="EI397" s="104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04"/>
      <c r="EZ397" s="104"/>
      <c r="FA397" s="104"/>
      <c r="FB397" s="104"/>
      <c r="FC397" s="104"/>
      <c r="FD397" s="104"/>
      <c r="FE397" s="104"/>
      <c r="FF397" s="104"/>
      <c r="FG397" s="104"/>
      <c r="FH397" s="104"/>
      <c r="FI397" s="104"/>
      <c r="FJ397" s="104"/>
      <c r="FK397" s="104"/>
      <c r="FL397" s="104"/>
      <c r="FM397" s="104"/>
      <c r="FN397" s="104"/>
      <c r="FO397" s="104"/>
      <c r="FP397" s="104"/>
      <c r="FQ397" s="104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  <c r="HA397" s="104"/>
      <c r="HB397" s="104"/>
      <c r="HC397" s="104"/>
      <c r="HD397" s="104"/>
      <c r="HE397" s="104"/>
      <c r="HF397" s="104"/>
      <c r="HG397" s="104"/>
      <c r="HH397" s="104"/>
      <c r="HI397" s="104"/>
      <c r="HJ397" s="104"/>
      <c r="HK397" s="104"/>
      <c r="HL397" s="104"/>
      <c r="HM397" s="104"/>
      <c r="HN397" s="104"/>
      <c r="HO397" s="104"/>
      <c r="HP397" s="104"/>
      <c r="HQ397" s="104"/>
      <c r="HR397" s="104"/>
      <c r="HS397" s="104"/>
      <c r="HT397" s="104"/>
      <c r="HU397" s="104"/>
      <c r="HV397" s="104"/>
      <c r="HW397" s="104"/>
      <c r="HX397" s="104"/>
      <c r="HY397" s="104"/>
      <c r="HZ397" s="104"/>
      <c r="IA397" s="104"/>
      <c r="IB397" s="104"/>
      <c r="IC397" s="104"/>
      <c r="ID397" s="104"/>
      <c r="IE397" s="104"/>
      <c r="IF397" s="104"/>
      <c r="IG397" s="104"/>
      <c r="IH397" s="104"/>
      <c r="II397" s="104"/>
      <c r="IJ397" s="104"/>
      <c r="IK397" s="104"/>
      <c r="IL397" s="104"/>
      <c r="IM397" s="104"/>
      <c r="IN397" s="104"/>
      <c r="IO397" s="104"/>
      <c r="IP397" s="104"/>
      <c r="IQ397" s="104"/>
      <c r="IR397" s="104"/>
      <c r="IS397" s="104"/>
      <c r="IT397" s="104"/>
      <c r="IU397" s="104"/>
      <c r="IV397" s="104"/>
      <c r="IW397" s="104"/>
      <c r="IX397" s="104"/>
      <c r="IY397" s="104"/>
      <c r="IZ397" s="104"/>
      <c r="JA397" s="104"/>
    </row>
    <row r="398" spans="61:261" x14ac:dyDescent="0.2">
      <c r="BI398" s="104"/>
      <c r="BJ398" s="104"/>
      <c r="BK398" s="104"/>
      <c r="BL398" s="104"/>
      <c r="BM398" s="104"/>
      <c r="BN398" s="104"/>
      <c r="BO398" s="104"/>
      <c r="BP398" s="104"/>
      <c r="BQ398" s="104"/>
      <c r="BR398" s="104"/>
      <c r="BS398" s="104"/>
      <c r="BT398" s="104"/>
      <c r="BU398" s="104"/>
      <c r="BV398" s="104"/>
      <c r="BW398" s="104"/>
      <c r="BX398" s="104"/>
      <c r="BY398" s="104"/>
      <c r="BZ398" s="104"/>
      <c r="CA398" s="104"/>
      <c r="CB398" s="104"/>
      <c r="CC398" s="104"/>
      <c r="CD398" s="104"/>
      <c r="CE398" s="104"/>
      <c r="CF398" s="104"/>
      <c r="CG398" s="104"/>
      <c r="CH398" s="104"/>
      <c r="CI398" s="104"/>
      <c r="CJ398" s="104"/>
      <c r="CK398" s="104"/>
      <c r="CL398" s="104"/>
      <c r="CM398" s="104"/>
      <c r="CN398" s="104"/>
      <c r="CO398" s="104"/>
      <c r="CP398" s="104"/>
      <c r="CQ398" s="104"/>
      <c r="CR398" s="104"/>
      <c r="CS398" s="104"/>
      <c r="CT398" s="104"/>
      <c r="CU398" s="104"/>
      <c r="CV398" s="104"/>
      <c r="CW398" s="104"/>
      <c r="CX398" s="104"/>
      <c r="CY398" s="104"/>
      <c r="CZ398" s="104"/>
      <c r="DA398" s="104"/>
      <c r="DB398" s="104"/>
      <c r="DC398" s="104"/>
      <c r="DD398" s="104"/>
      <c r="DE398" s="104"/>
      <c r="DF398" s="104"/>
      <c r="DG398" s="104"/>
      <c r="DH398" s="104"/>
      <c r="DI398" s="104"/>
      <c r="DJ398" s="104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104"/>
      <c r="DV398" s="104"/>
      <c r="DW398" s="104"/>
      <c r="DX398" s="104"/>
      <c r="DY398" s="104"/>
      <c r="DZ398" s="104"/>
      <c r="EA398" s="104"/>
      <c r="EB398" s="104"/>
      <c r="EC398" s="104"/>
      <c r="ED398" s="104"/>
      <c r="EE398" s="104"/>
      <c r="EF398" s="104"/>
      <c r="EG398" s="104"/>
      <c r="EH398" s="104"/>
      <c r="EI398" s="104"/>
      <c r="EJ398" s="104"/>
      <c r="EK398" s="104"/>
      <c r="EL398" s="104"/>
      <c r="EM398" s="104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04"/>
      <c r="EZ398" s="104"/>
      <c r="FA398" s="104"/>
      <c r="FB398" s="104"/>
      <c r="FC398" s="104"/>
      <c r="FD398" s="104"/>
      <c r="FE398" s="104"/>
      <c r="FF398" s="104"/>
      <c r="FG398" s="104"/>
      <c r="FH398" s="104"/>
      <c r="FI398" s="104"/>
      <c r="FJ398" s="104"/>
      <c r="FK398" s="104"/>
      <c r="FL398" s="104"/>
      <c r="FM398" s="104"/>
      <c r="FN398" s="104"/>
      <c r="FO398" s="104"/>
      <c r="FP398" s="104"/>
      <c r="FQ398" s="104"/>
      <c r="FR398" s="104"/>
      <c r="FS398" s="104"/>
      <c r="FT398" s="104"/>
      <c r="FU398" s="104"/>
      <c r="FV398" s="104"/>
      <c r="FW398" s="104"/>
      <c r="FX398" s="104"/>
      <c r="FY398" s="104"/>
      <c r="FZ398" s="104"/>
      <c r="GA398" s="104"/>
      <c r="GB398" s="104"/>
      <c r="GC398" s="104"/>
      <c r="GD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  <c r="HA398" s="104"/>
      <c r="HB398" s="104"/>
      <c r="HC398" s="104"/>
      <c r="HD398" s="104"/>
      <c r="HE398" s="104"/>
      <c r="HF398" s="104"/>
      <c r="HG398" s="104"/>
      <c r="HH398" s="104"/>
      <c r="HI398" s="104"/>
      <c r="HJ398" s="104"/>
      <c r="HK398" s="104"/>
      <c r="HL398" s="104"/>
      <c r="HM398" s="104"/>
      <c r="HN398" s="104"/>
      <c r="HO398" s="104"/>
      <c r="HP398" s="104"/>
      <c r="HQ398" s="104"/>
      <c r="HR398" s="104"/>
      <c r="HS398" s="104"/>
      <c r="HT398" s="104"/>
      <c r="HU398" s="104"/>
      <c r="HV398" s="104"/>
      <c r="HW398" s="104"/>
      <c r="HX398" s="104"/>
      <c r="HY398" s="104"/>
      <c r="HZ398" s="104"/>
      <c r="IA398" s="104"/>
      <c r="IB398" s="104"/>
      <c r="IC398" s="104"/>
      <c r="ID398" s="104"/>
      <c r="IE398" s="104"/>
      <c r="IF398" s="104"/>
      <c r="IG398" s="104"/>
      <c r="IH398" s="104"/>
      <c r="II398" s="104"/>
      <c r="IJ398" s="104"/>
      <c r="IK398" s="104"/>
      <c r="IL398" s="104"/>
      <c r="IM398" s="104"/>
      <c r="IN398" s="104"/>
      <c r="IO398" s="104"/>
      <c r="IP398" s="104"/>
      <c r="IQ398" s="104"/>
      <c r="IR398" s="104"/>
      <c r="IS398" s="104"/>
      <c r="IT398" s="104"/>
      <c r="IU398" s="104"/>
      <c r="IV398" s="104"/>
      <c r="IW398" s="104"/>
      <c r="IX398" s="104"/>
      <c r="IY398" s="104"/>
      <c r="IZ398" s="104"/>
      <c r="JA398" s="104"/>
    </row>
    <row r="399" spans="61:261" x14ac:dyDescent="0.2">
      <c r="BI399" s="104"/>
      <c r="BJ399" s="104"/>
      <c r="BK399" s="104"/>
      <c r="BL399" s="104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  <c r="CW399" s="104"/>
      <c r="CX399" s="104"/>
      <c r="CY399" s="104"/>
      <c r="CZ399" s="104"/>
      <c r="DA399" s="104"/>
      <c r="DB399" s="104"/>
      <c r="DC399" s="104"/>
      <c r="DD399" s="104"/>
      <c r="DE399" s="104"/>
      <c r="DF399" s="104"/>
      <c r="DG399" s="104"/>
      <c r="DH399" s="104"/>
      <c r="DI399" s="104"/>
      <c r="DJ399" s="104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104"/>
      <c r="DV399" s="104"/>
      <c r="DW399" s="104"/>
      <c r="DX399" s="104"/>
      <c r="DY399" s="104"/>
      <c r="DZ399" s="104"/>
      <c r="EA399" s="104"/>
      <c r="EB399" s="104"/>
      <c r="EC399" s="104"/>
      <c r="ED399" s="104"/>
      <c r="EE399" s="104"/>
      <c r="EF399" s="104"/>
      <c r="EG399" s="104"/>
      <c r="EH399" s="104"/>
      <c r="EI399" s="104"/>
      <c r="EJ399" s="104"/>
      <c r="EK399" s="104"/>
      <c r="EL399" s="104"/>
      <c r="EM399" s="104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4"/>
      <c r="FA399" s="104"/>
      <c r="FB399" s="104"/>
      <c r="FC399" s="104"/>
      <c r="FD399" s="104"/>
      <c r="FE399" s="104"/>
      <c r="FF399" s="104"/>
      <c r="FG399" s="104"/>
      <c r="FH399" s="104"/>
      <c r="FI399" s="104"/>
      <c r="FJ399" s="104"/>
      <c r="FK399" s="104"/>
      <c r="FL399" s="104"/>
      <c r="FM399" s="104"/>
      <c r="FN399" s="104"/>
      <c r="FO399" s="104"/>
      <c r="FP399" s="104"/>
      <c r="FQ399" s="104"/>
      <c r="FR399" s="104"/>
      <c r="FS399" s="104"/>
      <c r="FT399" s="104"/>
      <c r="FU399" s="104"/>
      <c r="FV399" s="104"/>
      <c r="FW399" s="104"/>
      <c r="FX399" s="104"/>
      <c r="FY399" s="104"/>
      <c r="FZ399" s="104"/>
      <c r="GA399" s="104"/>
      <c r="GB399" s="104"/>
      <c r="GC399" s="104"/>
      <c r="GD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  <c r="HA399" s="104"/>
      <c r="HB399" s="104"/>
      <c r="HC399" s="104"/>
      <c r="HD399" s="104"/>
      <c r="HE399" s="104"/>
      <c r="HF399" s="104"/>
      <c r="HG399" s="104"/>
      <c r="HH399" s="104"/>
      <c r="HI399" s="104"/>
      <c r="HJ399" s="104"/>
      <c r="HK399" s="104"/>
      <c r="HL399" s="104"/>
      <c r="HM399" s="104"/>
      <c r="HN399" s="104"/>
      <c r="HO399" s="104"/>
      <c r="HP399" s="104"/>
      <c r="HQ399" s="104"/>
      <c r="HR399" s="104"/>
      <c r="HS399" s="104"/>
      <c r="HT399" s="104"/>
      <c r="HU399" s="104"/>
      <c r="HV399" s="104"/>
      <c r="HW399" s="104"/>
      <c r="HX399" s="104"/>
      <c r="HY399" s="104"/>
      <c r="HZ399" s="104"/>
      <c r="IA399" s="104"/>
      <c r="IB399" s="104"/>
      <c r="IC399" s="104"/>
      <c r="ID399" s="104"/>
      <c r="IE399" s="104"/>
      <c r="IF399" s="104"/>
      <c r="IG399" s="104"/>
      <c r="IH399" s="104"/>
      <c r="II399" s="104"/>
      <c r="IJ399" s="104"/>
      <c r="IK399" s="104"/>
      <c r="IL399" s="104"/>
      <c r="IM399" s="104"/>
      <c r="IN399" s="104"/>
      <c r="IO399" s="104"/>
      <c r="IP399" s="104"/>
      <c r="IQ399" s="104"/>
      <c r="IR399" s="104"/>
      <c r="IS399" s="104"/>
      <c r="IT399" s="104"/>
      <c r="IU399" s="104"/>
      <c r="IV399" s="104"/>
      <c r="IW399" s="104"/>
      <c r="IX399" s="104"/>
      <c r="IY399" s="104"/>
      <c r="IZ399" s="104"/>
      <c r="JA399" s="104"/>
    </row>
    <row r="400" spans="61:261" x14ac:dyDescent="0.2">
      <c r="BI400" s="104"/>
      <c r="BJ400" s="104"/>
      <c r="BK400" s="104"/>
      <c r="BL400" s="104"/>
      <c r="BM400" s="104"/>
      <c r="BN400" s="104"/>
      <c r="BO400" s="104"/>
      <c r="BP400" s="104"/>
      <c r="BQ400" s="104"/>
      <c r="BR400" s="104"/>
      <c r="BS400" s="104"/>
      <c r="BT400" s="104"/>
      <c r="BU400" s="104"/>
      <c r="BV400" s="104"/>
      <c r="BW400" s="104"/>
      <c r="BX400" s="104"/>
      <c r="BY400" s="104"/>
      <c r="BZ400" s="104"/>
      <c r="CA400" s="104"/>
      <c r="CB400" s="104"/>
      <c r="CC400" s="104"/>
      <c r="CD400" s="104"/>
      <c r="CE400" s="104"/>
      <c r="CF400" s="104"/>
      <c r="CG400" s="104"/>
      <c r="CH400" s="104"/>
      <c r="CI400" s="104"/>
      <c r="CJ400" s="104"/>
      <c r="CK400" s="104"/>
      <c r="CL400" s="104"/>
      <c r="CM400" s="104"/>
      <c r="CN400" s="104"/>
      <c r="CO400" s="104"/>
      <c r="CP400" s="104"/>
      <c r="CQ400" s="104"/>
      <c r="CR400" s="104"/>
      <c r="CS400" s="104"/>
      <c r="CT400" s="104"/>
      <c r="CU400" s="104"/>
      <c r="CV400" s="104"/>
      <c r="CW400" s="104"/>
      <c r="CX400" s="104"/>
      <c r="CY400" s="104"/>
      <c r="CZ400" s="104"/>
      <c r="DA400" s="104"/>
      <c r="DB400" s="104"/>
      <c r="DC400" s="104"/>
      <c r="DD400" s="104"/>
      <c r="DE400" s="104"/>
      <c r="DF400" s="104"/>
      <c r="DG400" s="104"/>
      <c r="DH400" s="104"/>
      <c r="DI400" s="104"/>
      <c r="DJ400" s="104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104"/>
      <c r="DV400" s="104"/>
      <c r="DW400" s="104"/>
      <c r="DX400" s="104"/>
      <c r="DY400" s="104"/>
      <c r="DZ400" s="104"/>
      <c r="EA400" s="104"/>
      <c r="EB400" s="104"/>
      <c r="EC400" s="104"/>
      <c r="ED400" s="104"/>
      <c r="EE400" s="104"/>
      <c r="EF400" s="104"/>
      <c r="EG400" s="104"/>
      <c r="EH400" s="104"/>
      <c r="EI400" s="104"/>
      <c r="EJ400" s="104"/>
      <c r="EK400" s="104"/>
      <c r="EL400" s="104"/>
      <c r="EM400" s="104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04"/>
      <c r="EZ400" s="104"/>
      <c r="FA400" s="104"/>
      <c r="FB400" s="104"/>
      <c r="FC400" s="104"/>
      <c r="FD400" s="104"/>
      <c r="FE400" s="104"/>
      <c r="FF400" s="104"/>
      <c r="FG400" s="104"/>
      <c r="FH400" s="104"/>
      <c r="FI400" s="104"/>
      <c r="FJ400" s="104"/>
      <c r="FK400" s="104"/>
      <c r="FL400" s="104"/>
      <c r="FM400" s="104"/>
      <c r="FN400" s="104"/>
      <c r="FO400" s="104"/>
      <c r="FP400" s="104"/>
      <c r="FQ400" s="104"/>
      <c r="FR400" s="104"/>
      <c r="FS400" s="104"/>
      <c r="FT400" s="104"/>
      <c r="FU400" s="104"/>
      <c r="FV400" s="104"/>
      <c r="FW400" s="104"/>
      <c r="FX400" s="104"/>
      <c r="FY400" s="104"/>
      <c r="FZ400" s="104"/>
      <c r="GA400" s="104"/>
      <c r="GB400" s="104"/>
      <c r="GC400" s="104"/>
      <c r="GD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  <c r="HA400" s="104"/>
      <c r="HB400" s="104"/>
      <c r="HC400" s="104"/>
      <c r="HD400" s="104"/>
      <c r="HE400" s="104"/>
      <c r="HF400" s="104"/>
      <c r="HG400" s="104"/>
      <c r="HH400" s="104"/>
      <c r="HI400" s="104"/>
      <c r="HJ400" s="104"/>
      <c r="HK400" s="104"/>
      <c r="HL400" s="104"/>
      <c r="HM400" s="104"/>
      <c r="HN400" s="104"/>
      <c r="HO400" s="104"/>
      <c r="HP400" s="104"/>
      <c r="HQ400" s="104"/>
      <c r="HR400" s="104"/>
      <c r="HS400" s="104"/>
      <c r="HT400" s="104"/>
      <c r="HU400" s="104"/>
      <c r="HV400" s="104"/>
      <c r="HW400" s="104"/>
      <c r="HX400" s="104"/>
      <c r="HY400" s="104"/>
      <c r="HZ400" s="104"/>
      <c r="IA400" s="104"/>
      <c r="IB400" s="104"/>
      <c r="IC400" s="104"/>
      <c r="ID400" s="104"/>
      <c r="IE400" s="104"/>
      <c r="IF400" s="104"/>
      <c r="IG400" s="104"/>
      <c r="IH400" s="104"/>
      <c r="II400" s="104"/>
      <c r="IJ400" s="104"/>
      <c r="IK400" s="104"/>
      <c r="IL400" s="104"/>
      <c r="IM400" s="104"/>
      <c r="IN400" s="104"/>
      <c r="IO400" s="104"/>
      <c r="IP400" s="104"/>
      <c r="IQ400" s="104"/>
      <c r="IR400" s="104"/>
      <c r="IS400" s="104"/>
      <c r="IT400" s="104"/>
      <c r="IU400" s="104"/>
      <c r="IV400" s="104"/>
      <c r="IW400" s="104"/>
      <c r="IX400" s="104"/>
      <c r="IY400" s="104"/>
      <c r="IZ400" s="104"/>
      <c r="JA400" s="104"/>
    </row>
    <row r="401" spans="61:261" x14ac:dyDescent="0.2">
      <c r="BI401" s="104"/>
      <c r="BJ401" s="104"/>
      <c r="BK401" s="104"/>
      <c r="BL401" s="104"/>
      <c r="BM401" s="104"/>
      <c r="BN401" s="104"/>
      <c r="BO401" s="104"/>
      <c r="BP401" s="104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04"/>
      <c r="CE401" s="104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104"/>
      <c r="CT401" s="104"/>
      <c r="CU401" s="104"/>
      <c r="CV401" s="104"/>
      <c r="CW401" s="104"/>
      <c r="CX401" s="104"/>
      <c r="CY401" s="104"/>
      <c r="CZ401" s="104"/>
      <c r="DA401" s="104"/>
      <c r="DB401" s="104"/>
      <c r="DC401" s="104"/>
      <c r="DD401" s="104"/>
      <c r="DE401" s="104"/>
      <c r="DF401" s="104"/>
      <c r="DG401" s="104"/>
      <c r="DH401" s="104"/>
      <c r="DI401" s="104"/>
      <c r="DJ401" s="104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104"/>
      <c r="DV401" s="104"/>
      <c r="DW401" s="104"/>
      <c r="DX401" s="104"/>
      <c r="DY401" s="104"/>
      <c r="DZ401" s="104"/>
      <c r="EA401" s="104"/>
      <c r="EB401" s="104"/>
      <c r="EC401" s="104"/>
      <c r="ED401" s="104"/>
      <c r="EE401" s="104"/>
      <c r="EF401" s="104"/>
      <c r="EG401" s="104"/>
      <c r="EH401" s="104"/>
      <c r="EI401" s="104"/>
      <c r="EJ401" s="104"/>
      <c r="EK401" s="104"/>
      <c r="EL401" s="104"/>
      <c r="EM401" s="104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04"/>
      <c r="EZ401" s="104"/>
      <c r="FA401" s="104"/>
      <c r="FB401" s="104"/>
      <c r="FC401" s="104"/>
      <c r="FD401" s="104"/>
      <c r="FE401" s="104"/>
      <c r="FF401" s="104"/>
      <c r="FG401" s="104"/>
      <c r="FH401" s="104"/>
      <c r="FI401" s="104"/>
      <c r="FJ401" s="104"/>
      <c r="FK401" s="104"/>
      <c r="FL401" s="104"/>
      <c r="FM401" s="104"/>
      <c r="FN401" s="104"/>
      <c r="FO401" s="104"/>
      <c r="FP401" s="104"/>
      <c r="FQ401" s="104"/>
      <c r="FR401" s="104"/>
      <c r="FS401" s="104"/>
      <c r="FT401" s="104"/>
      <c r="FU401" s="104"/>
      <c r="FV401" s="104"/>
      <c r="FW401" s="104"/>
      <c r="FX401" s="104"/>
      <c r="FY401" s="104"/>
      <c r="FZ401" s="104"/>
      <c r="GA401" s="104"/>
      <c r="GB401" s="104"/>
      <c r="GC401" s="104"/>
      <c r="GD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  <c r="HA401" s="104"/>
      <c r="HB401" s="104"/>
      <c r="HC401" s="104"/>
      <c r="HD401" s="104"/>
      <c r="HE401" s="104"/>
      <c r="HF401" s="104"/>
      <c r="HG401" s="104"/>
      <c r="HH401" s="104"/>
      <c r="HI401" s="104"/>
      <c r="HJ401" s="104"/>
      <c r="HK401" s="104"/>
      <c r="HL401" s="104"/>
      <c r="HM401" s="104"/>
      <c r="HN401" s="104"/>
      <c r="HO401" s="104"/>
      <c r="HP401" s="104"/>
      <c r="HQ401" s="104"/>
      <c r="HR401" s="104"/>
      <c r="HS401" s="104"/>
      <c r="HT401" s="104"/>
      <c r="HU401" s="104"/>
      <c r="HV401" s="104"/>
      <c r="HW401" s="104"/>
      <c r="HX401" s="104"/>
      <c r="HY401" s="104"/>
      <c r="HZ401" s="104"/>
      <c r="IA401" s="104"/>
      <c r="IB401" s="104"/>
      <c r="IC401" s="104"/>
      <c r="ID401" s="104"/>
      <c r="IE401" s="104"/>
      <c r="IF401" s="104"/>
      <c r="IG401" s="104"/>
      <c r="IH401" s="104"/>
      <c r="II401" s="104"/>
      <c r="IJ401" s="104"/>
      <c r="IK401" s="104"/>
      <c r="IL401" s="104"/>
      <c r="IM401" s="104"/>
      <c r="IN401" s="104"/>
      <c r="IO401" s="104"/>
      <c r="IP401" s="104"/>
      <c r="IQ401" s="104"/>
      <c r="IR401" s="104"/>
      <c r="IS401" s="104"/>
      <c r="IT401" s="104"/>
      <c r="IU401" s="104"/>
      <c r="IV401" s="104"/>
      <c r="IW401" s="104"/>
      <c r="IX401" s="104"/>
      <c r="IY401" s="104"/>
      <c r="IZ401" s="104"/>
      <c r="JA401" s="104"/>
    </row>
    <row r="402" spans="61:261" x14ac:dyDescent="0.2">
      <c r="BI402" s="104"/>
      <c r="BJ402" s="104"/>
      <c r="BK402" s="104"/>
      <c r="BL402" s="104"/>
      <c r="BM402" s="104"/>
      <c r="BN402" s="104"/>
      <c r="BO402" s="104"/>
      <c r="BP402" s="104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04"/>
      <c r="CE402" s="104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104"/>
      <c r="CT402" s="104"/>
      <c r="CU402" s="104"/>
      <c r="CV402" s="104"/>
      <c r="CW402" s="104"/>
      <c r="CX402" s="104"/>
      <c r="CY402" s="104"/>
      <c r="CZ402" s="104"/>
      <c r="DA402" s="104"/>
      <c r="DB402" s="104"/>
      <c r="DC402" s="104"/>
      <c r="DD402" s="104"/>
      <c r="DE402" s="104"/>
      <c r="DF402" s="104"/>
      <c r="DG402" s="104"/>
      <c r="DH402" s="104"/>
      <c r="DI402" s="104"/>
      <c r="DJ402" s="104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104"/>
      <c r="DV402" s="104"/>
      <c r="DW402" s="104"/>
      <c r="DX402" s="104"/>
      <c r="DY402" s="104"/>
      <c r="DZ402" s="104"/>
      <c r="EA402" s="104"/>
      <c r="EB402" s="104"/>
      <c r="EC402" s="104"/>
      <c r="ED402" s="104"/>
      <c r="EE402" s="104"/>
      <c r="EF402" s="104"/>
      <c r="EG402" s="104"/>
      <c r="EH402" s="104"/>
      <c r="EI402" s="104"/>
      <c r="EJ402" s="104"/>
      <c r="EK402" s="104"/>
      <c r="EL402" s="104"/>
      <c r="EM402" s="104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04"/>
      <c r="EZ402" s="104"/>
      <c r="FA402" s="104"/>
      <c r="FB402" s="104"/>
      <c r="FC402" s="104"/>
      <c r="FD402" s="104"/>
      <c r="FE402" s="104"/>
      <c r="FF402" s="104"/>
      <c r="FG402" s="104"/>
      <c r="FH402" s="104"/>
      <c r="FI402" s="104"/>
      <c r="FJ402" s="104"/>
      <c r="FK402" s="104"/>
      <c r="FL402" s="104"/>
      <c r="FM402" s="104"/>
      <c r="FN402" s="104"/>
      <c r="FO402" s="104"/>
      <c r="FP402" s="104"/>
      <c r="FQ402" s="104"/>
      <c r="FR402" s="104"/>
      <c r="FS402" s="104"/>
      <c r="FT402" s="104"/>
      <c r="FU402" s="104"/>
      <c r="FV402" s="104"/>
      <c r="FW402" s="104"/>
      <c r="FX402" s="104"/>
      <c r="FY402" s="104"/>
      <c r="FZ402" s="104"/>
      <c r="GA402" s="104"/>
      <c r="GB402" s="104"/>
      <c r="GC402" s="104"/>
      <c r="GD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  <c r="HA402" s="104"/>
      <c r="HB402" s="104"/>
      <c r="HC402" s="104"/>
      <c r="HD402" s="104"/>
      <c r="HE402" s="104"/>
      <c r="HF402" s="104"/>
      <c r="HG402" s="104"/>
      <c r="HH402" s="104"/>
      <c r="HI402" s="104"/>
      <c r="HJ402" s="104"/>
      <c r="HK402" s="104"/>
      <c r="HL402" s="104"/>
      <c r="HM402" s="104"/>
      <c r="HN402" s="104"/>
      <c r="HO402" s="104"/>
      <c r="HP402" s="104"/>
      <c r="HQ402" s="104"/>
      <c r="HR402" s="104"/>
      <c r="HS402" s="104"/>
      <c r="HT402" s="104"/>
      <c r="HU402" s="104"/>
      <c r="HV402" s="104"/>
      <c r="HW402" s="104"/>
      <c r="HX402" s="104"/>
      <c r="HY402" s="104"/>
      <c r="HZ402" s="104"/>
      <c r="IA402" s="104"/>
      <c r="IB402" s="104"/>
      <c r="IC402" s="104"/>
      <c r="ID402" s="104"/>
      <c r="IE402" s="104"/>
      <c r="IF402" s="104"/>
      <c r="IG402" s="104"/>
      <c r="IH402" s="104"/>
      <c r="II402" s="104"/>
      <c r="IJ402" s="104"/>
      <c r="IK402" s="104"/>
      <c r="IL402" s="104"/>
      <c r="IM402" s="104"/>
      <c r="IN402" s="104"/>
      <c r="IO402" s="104"/>
      <c r="IP402" s="104"/>
      <c r="IQ402" s="104"/>
      <c r="IR402" s="104"/>
      <c r="IS402" s="104"/>
      <c r="IT402" s="104"/>
      <c r="IU402" s="104"/>
      <c r="IV402" s="104"/>
      <c r="IW402" s="104"/>
      <c r="IX402" s="104"/>
      <c r="IY402" s="104"/>
      <c r="IZ402" s="104"/>
      <c r="JA402" s="104"/>
    </row>
    <row r="403" spans="61:261" x14ac:dyDescent="0.2">
      <c r="BI403" s="104"/>
      <c r="BJ403" s="104"/>
      <c r="BK403" s="104"/>
      <c r="BL403" s="104"/>
      <c r="BM403" s="104"/>
      <c r="BN403" s="104"/>
      <c r="BO403" s="104"/>
      <c r="BP403" s="104"/>
      <c r="BQ403" s="104"/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4"/>
      <c r="CB403" s="104"/>
      <c r="CC403" s="104"/>
      <c r="CD403" s="104"/>
      <c r="CE403" s="104"/>
      <c r="CF403" s="104"/>
      <c r="CG403" s="104"/>
      <c r="CH403" s="104"/>
      <c r="CI403" s="104"/>
      <c r="CJ403" s="104"/>
      <c r="CK403" s="104"/>
      <c r="CL403" s="104"/>
      <c r="CM403" s="104"/>
      <c r="CN403" s="104"/>
      <c r="CO403" s="104"/>
      <c r="CP403" s="104"/>
      <c r="CQ403" s="104"/>
      <c r="CR403" s="104"/>
      <c r="CS403" s="104"/>
      <c r="CT403" s="104"/>
      <c r="CU403" s="104"/>
      <c r="CV403" s="104"/>
      <c r="CW403" s="104"/>
      <c r="CX403" s="104"/>
      <c r="CY403" s="104"/>
      <c r="CZ403" s="104"/>
      <c r="DA403" s="104"/>
      <c r="DB403" s="104"/>
      <c r="DC403" s="104"/>
      <c r="DD403" s="104"/>
      <c r="DE403" s="104"/>
      <c r="DF403" s="104"/>
      <c r="DG403" s="104"/>
      <c r="DH403" s="104"/>
      <c r="DI403" s="104"/>
      <c r="DJ403" s="104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104"/>
      <c r="DV403" s="104"/>
      <c r="DW403" s="104"/>
      <c r="DX403" s="104"/>
      <c r="DY403" s="104"/>
      <c r="DZ403" s="104"/>
      <c r="EA403" s="104"/>
      <c r="EB403" s="104"/>
      <c r="EC403" s="104"/>
      <c r="ED403" s="104"/>
      <c r="EE403" s="104"/>
      <c r="EF403" s="104"/>
      <c r="EG403" s="104"/>
      <c r="EH403" s="104"/>
      <c r="EI403" s="104"/>
      <c r="EJ403" s="104"/>
      <c r="EK403" s="104"/>
      <c r="EL403" s="104"/>
      <c r="EM403" s="104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4"/>
      <c r="FA403" s="104"/>
      <c r="FB403" s="104"/>
      <c r="FC403" s="104"/>
      <c r="FD403" s="104"/>
      <c r="FE403" s="104"/>
      <c r="FF403" s="104"/>
      <c r="FG403" s="104"/>
      <c r="FH403" s="104"/>
      <c r="FI403" s="104"/>
      <c r="FJ403" s="104"/>
      <c r="FK403" s="104"/>
      <c r="FL403" s="104"/>
      <c r="FM403" s="104"/>
      <c r="FN403" s="104"/>
      <c r="FO403" s="104"/>
      <c r="FP403" s="104"/>
      <c r="FQ403" s="104"/>
      <c r="FR403" s="104"/>
      <c r="FS403" s="104"/>
      <c r="FT403" s="104"/>
      <c r="FU403" s="104"/>
      <c r="FV403" s="104"/>
      <c r="FW403" s="104"/>
      <c r="FX403" s="104"/>
      <c r="FY403" s="104"/>
      <c r="FZ403" s="104"/>
      <c r="GA403" s="104"/>
      <c r="GB403" s="104"/>
      <c r="GC403" s="104"/>
      <c r="GD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  <c r="HA403" s="104"/>
      <c r="HB403" s="104"/>
      <c r="HC403" s="104"/>
      <c r="HD403" s="104"/>
      <c r="HE403" s="104"/>
      <c r="HF403" s="104"/>
      <c r="HG403" s="104"/>
      <c r="HH403" s="104"/>
      <c r="HI403" s="104"/>
      <c r="HJ403" s="104"/>
      <c r="HK403" s="104"/>
      <c r="HL403" s="104"/>
      <c r="HM403" s="104"/>
      <c r="HN403" s="104"/>
      <c r="HO403" s="104"/>
      <c r="HP403" s="104"/>
      <c r="HQ403" s="104"/>
      <c r="HR403" s="104"/>
      <c r="HS403" s="104"/>
      <c r="HT403" s="104"/>
      <c r="HU403" s="104"/>
      <c r="HV403" s="104"/>
      <c r="HW403" s="104"/>
      <c r="HX403" s="104"/>
      <c r="HY403" s="104"/>
      <c r="HZ403" s="104"/>
      <c r="IA403" s="104"/>
      <c r="IB403" s="104"/>
      <c r="IC403" s="104"/>
      <c r="ID403" s="104"/>
      <c r="IE403" s="104"/>
      <c r="IF403" s="104"/>
      <c r="IG403" s="104"/>
      <c r="IH403" s="104"/>
      <c r="II403" s="104"/>
      <c r="IJ403" s="104"/>
      <c r="IK403" s="104"/>
      <c r="IL403" s="104"/>
      <c r="IM403" s="104"/>
      <c r="IN403" s="104"/>
      <c r="IO403" s="104"/>
      <c r="IP403" s="104"/>
      <c r="IQ403" s="104"/>
      <c r="IR403" s="104"/>
      <c r="IS403" s="104"/>
      <c r="IT403" s="104"/>
      <c r="IU403" s="104"/>
      <c r="IV403" s="104"/>
      <c r="IW403" s="104"/>
      <c r="IX403" s="104"/>
      <c r="IY403" s="104"/>
      <c r="IZ403" s="104"/>
      <c r="JA403" s="104"/>
    </row>
    <row r="404" spans="61:261" x14ac:dyDescent="0.2">
      <c r="BI404" s="104"/>
      <c r="BJ404" s="104"/>
      <c r="BK404" s="104"/>
      <c r="BL404" s="104"/>
      <c r="BM404" s="104"/>
      <c r="BN404" s="104"/>
      <c r="BO404" s="104"/>
      <c r="BP404" s="104"/>
      <c r="BQ404" s="104"/>
      <c r="BR404" s="104"/>
      <c r="BS404" s="104"/>
      <c r="BT404" s="104"/>
      <c r="BU404" s="104"/>
      <c r="BV404" s="104"/>
      <c r="BW404" s="104"/>
      <c r="BX404" s="104"/>
      <c r="BY404" s="104"/>
      <c r="BZ404" s="104"/>
      <c r="CA404" s="104"/>
      <c r="CB404" s="104"/>
      <c r="CC404" s="104"/>
      <c r="CD404" s="104"/>
      <c r="CE404" s="104"/>
      <c r="CF404" s="104"/>
      <c r="CG404" s="104"/>
      <c r="CH404" s="104"/>
      <c r="CI404" s="104"/>
      <c r="CJ404" s="104"/>
      <c r="CK404" s="104"/>
      <c r="CL404" s="104"/>
      <c r="CM404" s="104"/>
      <c r="CN404" s="104"/>
      <c r="CO404" s="104"/>
      <c r="CP404" s="104"/>
      <c r="CQ404" s="104"/>
      <c r="CR404" s="104"/>
      <c r="CS404" s="104"/>
      <c r="CT404" s="104"/>
      <c r="CU404" s="104"/>
      <c r="CV404" s="104"/>
      <c r="CW404" s="104"/>
      <c r="CX404" s="104"/>
      <c r="CY404" s="104"/>
      <c r="CZ404" s="104"/>
      <c r="DA404" s="104"/>
      <c r="DB404" s="104"/>
      <c r="DC404" s="104"/>
      <c r="DD404" s="104"/>
      <c r="DE404" s="104"/>
      <c r="DF404" s="104"/>
      <c r="DG404" s="104"/>
      <c r="DH404" s="104"/>
      <c r="DI404" s="104"/>
      <c r="DJ404" s="104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104"/>
      <c r="DV404" s="104"/>
      <c r="DW404" s="104"/>
      <c r="DX404" s="104"/>
      <c r="DY404" s="104"/>
      <c r="DZ404" s="104"/>
      <c r="EA404" s="104"/>
      <c r="EB404" s="104"/>
      <c r="EC404" s="104"/>
      <c r="ED404" s="104"/>
      <c r="EE404" s="104"/>
      <c r="EF404" s="104"/>
      <c r="EG404" s="104"/>
      <c r="EH404" s="104"/>
      <c r="EI404" s="104"/>
      <c r="EJ404" s="104"/>
      <c r="EK404" s="104"/>
      <c r="EL404" s="104"/>
      <c r="EM404" s="104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04"/>
      <c r="EZ404" s="104"/>
      <c r="FA404" s="104"/>
      <c r="FB404" s="104"/>
      <c r="FC404" s="104"/>
      <c r="FD404" s="104"/>
      <c r="FE404" s="104"/>
      <c r="FF404" s="104"/>
      <c r="FG404" s="104"/>
      <c r="FH404" s="104"/>
      <c r="FI404" s="104"/>
      <c r="FJ404" s="104"/>
      <c r="FK404" s="104"/>
      <c r="FL404" s="104"/>
      <c r="FM404" s="104"/>
      <c r="FN404" s="104"/>
      <c r="FO404" s="104"/>
      <c r="FP404" s="104"/>
      <c r="FQ404" s="104"/>
      <c r="FR404" s="104"/>
      <c r="FS404" s="104"/>
      <c r="FT404" s="104"/>
      <c r="FU404" s="104"/>
      <c r="FV404" s="104"/>
      <c r="FW404" s="104"/>
      <c r="FX404" s="104"/>
      <c r="FY404" s="104"/>
      <c r="FZ404" s="104"/>
      <c r="GA404" s="104"/>
      <c r="GB404" s="104"/>
      <c r="GC404" s="104"/>
      <c r="GD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  <c r="HA404" s="104"/>
      <c r="HB404" s="104"/>
      <c r="HC404" s="104"/>
      <c r="HD404" s="104"/>
      <c r="HE404" s="104"/>
      <c r="HF404" s="104"/>
      <c r="HG404" s="104"/>
      <c r="HH404" s="104"/>
      <c r="HI404" s="104"/>
      <c r="HJ404" s="104"/>
      <c r="HK404" s="104"/>
      <c r="HL404" s="104"/>
      <c r="HM404" s="104"/>
      <c r="HN404" s="104"/>
      <c r="HO404" s="104"/>
      <c r="HP404" s="104"/>
      <c r="HQ404" s="104"/>
      <c r="HR404" s="104"/>
      <c r="HS404" s="104"/>
      <c r="HT404" s="104"/>
      <c r="HU404" s="104"/>
      <c r="HV404" s="104"/>
      <c r="HW404" s="104"/>
      <c r="HX404" s="104"/>
      <c r="HY404" s="104"/>
      <c r="HZ404" s="104"/>
      <c r="IA404" s="104"/>
      <c r="IB404" s="104"/>
      <c r="IC404" s="104"/>
      <c r="ID404" s="104"/>
      <c r="IE404" s="104"/>
      <c r="IF404" s="104"/>
      <c r="IG404" s="104"/>
      <c r="IH404" s="104"/>
      <c r="II404" s="104"/>
      <c r="IJ404" s="104"/>
      <c r="IK404" s="104"/>
      <c r="IL404" s="104"/>
      <c r="IM404" s="104"/>
      <c r="IN404" s="104"/>
      <c r="IO404" s="104"/>
      <c r="IP404" s="104"/>
      <c r="IQ404" s="104"/>
      <c r="IR404" s="104"/>
      <c r="IS404" s="104"/>
      <c r="IT404" s="104"/>
      <c r="IU404" s="104"/>
      <c r="IV404" s="104"/>
      <c r="IW404" s="104"/>
      <c r="IX404" s="104"/>
      <c r="IY404" s="104"/>
      <c r="IZ404" s="104"/>
      <c r="JA404" s="104"/>
    </row>
    <row r="405" spans="61:261" x14ac:dyDescent="0.2">
      <c r="BI405" s="104"/>
      <c r="BJ405" s="104"/>
      <c r="BK405" s="104"/>
      <c r="BL405" s="104"/>
      <c r="BM405" s="104"/>
      <c r="BN405" s="104"/>
      <c r="BO405" s="104"/>
      <c r="BP405" s="104"/>
      <c r="BQ405" s="104"/>
      <c r="BR405" s="104"/>
      <c r="BS405" s="104"/>
      <c r="BT405" s="104"/>
      <c r="BU405" s="104"/>
      <c r="BV405" s="104"/>
      <c r="BW405" s="104"/>
      <c r="BX405" s="104"/>
      <c r="BY405" s="104"/>
      <c r="BZ405" s="104"/>
      <c r="CA405" s="104"/>
      <c r="CB405" s="104"/>
      <c r="CC405" s="104"/>
      <c r="CD405" s="104"/>
      <c r="CE405" s="104"/>
      <c r="CF405" s="104"/>
      <c r="CG405" s="104"/>
      <c r="CH405" s="104"/>
      <c r="CI405" s="104"/>
      <c r="CJ405" s="104"/>
      <c r="CK405" s="104"/>
      <c r="CL405" s="104"/>
      <c r="CM405" s="104"/>
      <c r="CN405" s="104"/>
      <c r="CO405" s="104"/>
      <c r="CP405" s="104"/>
      <c r="CQ405" s="104"/>
      <c r="CR405" s="104"/>
      <c r="CS405" s="104"/>
      <c r="CT405" s="104"/>
      <c r="CU405" s="104"/>
      <c r="CV405" s="104"/>
      <c r="CW405" s="104"/>
      <c r="CX405" s="104"/>
      <c r="CY405" s="104"/>
      <c r="CZ405" s="104"/>
      <c r="DA405" s="104"/>
      <c r="DB405" s="104"/>
      <c r="DC405" s="104"/>
      <c r="DD405" s="104"/>
      <c r="DE405" s="104"/>
      <c r="DF405" s="104"/>
      <c r="DG405" s="104"/>
      <c r="DH405" s="104"/>
      <c r="DI405" s="104"/>
      <c r="DJ405" s="104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104"/>
      <c r="DV405" s="104"/>
      <c r="DW405" s="104"/>
      <c r="DX405" s="104"/>
      <c r="DY405" s="104"/>
      <c r="DZ405" s="104"/>
      <c r="EA405" s="104"/>
      <c r="EB405" s="104"/>
      <c r="EC405" s="104"/>
      <c r="ED405" s="104"/>
      <c r="EE405" s="104"/>
      <c r="EF405" s="104"/>
      <c r="EG405" s="104"/>
      <c r="EH405" s="104"/>
      <c r="EI405" s="104"/>
      <c r="EJ405" s="104"/>
      <c r="EK405" s="104"/>
      <c r="EL405" s="104"/>
      <c r="EM405" s="104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04"/>
      <c r="EZ405" s="104"/>
      <c r="FA405" s="104"/>
      <c r="FB405" s="104"/>
      <c r="FC405" s="104"/>
      <c r="FD405" s="104"/>
      <c r="FE405" s="104"/>
      <c r="FF405" s="104"/>
      <c r="FG405" s="104"/>
      <c r="FH405" s="104"/>
      <c r="FI405" s="104"/>
      <c r="FJ405" s="104"/>
      <c r="FK405" s="104"/>
      <c r="FL405" s="104"/>
      <c r="FM405" s="104"/>
      <c r="FN405" s="104"/>
      <c r="FO405" s="104"/>
      <c r="FP405" s="104"/>
      <c r="FQ405" s="104"/>
      <c r="FR405" s="104"/>
      <c r="FS405" s="104"/>
      <c r="FT405" s="104"/>
      <c r="FU405" s="104"/>
      <c r="FV405" s="104"/>
      <c r="FW405" s="104"/>
      <c r="FX405" s="104"/>
      <c r="FY405" s="104"/>
      <c r="FZ405" s="104"/>
      <c r="GA405" s="104"/>
      <c r="GB405" s="104"/>
      <c r="GC405" s="104"/>
      <c r="GD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  <c r="HA405" s="104"/>
      <c r="HB405" s="104"/>
      <c r="HC405" s="104"/>
      <c r="HD405" s="104"/>
      <c r="HE405" s="104"/>
      <c r="HF405" s="104"/>
      <c r="HG405" s="104"/>
      <c r="HH405" s="104"/>
      <c r="HI405" s="104"/>
      <c r="HJ405" s="104"/>
      <c r="HK405" s="104"/>
      <c r="HL405" s="104"/>
      <c r="HM405" s="104"/>
      <c r="HN405" s="104"/>
      <c r="HO405" s="104"/>
      <c r="HP405" s="104"/>
      <c r="HQ405" s="104"/>
      <c r="HR405" s="104"/>
      <c r="HS405" s="104"/>
      <c r="HT405" s="104"/>
      <c r="HU405" s="104"/>
      <c r="HV405" s="104"/>
      <c r="HW405" s="104"/>
      <c r="HX405" s="104"/>
      <c r="HY405" s="104"/>
      <c r="HZ405" s="104"/>
      <c r="IA405" s="104"/>
      <c r="IB405" s="104"/>
      <c r="IC405" s="104"/>
      <c r="ID405" s="104"/>
      <c r="IE405" s="104"/>
      <c r="IF405" s="104"/>
      <c r="IG405" s="104"/>
      <c r="IH405" s="104"/>
      <c r="II405" s="104"/>
      <c r="IJ405" s="104"/>
      <c r="IK405" s="104"/>
      <c r="IL405" s="104"/>
      <c r="IM405" s="104"/>
      <c r="IN405" s="104"/>
      <c r="IO405" s="104"/>
      <c r="IP405" s="104"/>
      <c r="IQ405" s="104"/>
      <c r="IR405" s="104"/>
      <c r="IS405" s="104"/>
      <c r="IT405" s="104"/>
      <c r="IU405" s="104"/>
      <c r="IV405" s="104"/>
      <c r="IW405" s="104"/>
      <c r="IX405" s="104"/>
      <c r="IY405" s="104"/>
      <c r="IZ405" s="104"/>
      <c r="JA405" s="104"/>
    </row>
    <row r="406" spans="61:261" x14ac:dyDescent="0.2">
      <c r="BI406" s="104"/>
      <c r="BJ406" s="104"/>
      <c r="BK406" s="104"/>
      <c r="BL406" s="104"/>
      <c r="BM406" s="104"/>
      <c r="BN406" s="104"/>
      <c r="BO406" s="104"/>
      <c r="BP406" s="104"/>
      <c r="BQ406" s="104"/>
      <c r="BR406" s="104"/>
      <c r="BS406" s="104"/>
      <c r="BT406" s="104"/>
      <c r="BU406" s="104"/>
      <c r="BV406" s="104"/>
      <c r="BW406" s="104"/>
      <c r="BX406" s="104"/>
      <c r="BY406" s="104"/>
      <c r="BZ406" s="104"/>
      <c r="CA406" s="104"/>
      <c r="CB406" s="104"/>
      <c r="CC406" s="104"/>
      <c r="CD406" s="104"/>
      <c r="CE406" s="104"/>
      <c r="CF406" s="104"/>
      <c r="CG406" s="104"/>
      <c r="CH406" s="104"/>
      <c r="CI406" s="104"/>
      <c r="CJ406" s="104"/>
      <c r="CK406" s="104"/>
      <c r="CL406" s="104"/>
      <c r="CM406" s="104"/>
      <c r="CN406" s="104"/>
      <c r="CO406" s="104"/>
      <c r="CP406" s="104"/>
      <c r="CQ406" s="104"/>
      <c r="CR406" s="104"/>
      <c r="CS406" s="104"/>
      <c r="CT406" s="104"/>
      <c r="CU406" s="104"/>
      <c r="CV406" s="104"/>
      <c r="CW406" s="104"/>
      <c r="CX406" s="104"/>
      <c r="CY406" s="104"/>
      <c r="CZ406" s="104"/>
      <c r="DA406" s="104"/>
      <c r="DB406" s="104"/>
      <c r="DC406" s="104"/>
      <c r="DD406" s="104"/>
      <c r="DE406" s="104"/>
      <c r="DF406" s="104"/>
      <c r="DG406" s="104"/>
      <c r="DH406" s="104"/>
      <c r="DI406" s="104"/>
      <c r="DJ406" s="104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104"/>
      <c r="DV406" s="104"/>
      <c r="DW406" s="104"/>
      <c r="DX406" s="104"/>
      <c r="DY406" s="104"/>
      <c r="DZ406" s="104"/>
      <c r="EA406" s="104"/>
      <c r="EB406" s="104"/>
      <c r="EC406" s="104"/>
      <c r="ED406" s="104"/>
      <c r="EE406" s="104"/>
      <c r="EF406" s="104"/>
      <c r="EG406" s="104"/>
      <c r="EH406" s="104"/>
      <c r="EI406" s="104"/>
      <c r="EJ406" s="104"/>
      <c r="EK406" s="104"/>
      <c r="EL406" s="104"/>
      <c r="EM406" s="104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04"/>
      <c r="EZ406" s="104"/>
      <c r="FA406" s="104"/>
      <c r="FB406" s="104"/>
      <c r="FC406" s="104"/>
      <c r="FD406" s="104"/>
      <c r="FE406" s="104"/>
      <c r="FF406" s="104"/>
      <c r="FG406" s="104"/>
      <c r="FH406" s="104"/>
      <c r="FI406" s="104"/>
      <c r="FJ406" s="104"/>
      <c r="FK406" s="104"/>
      <c r="FL406" s="104"/>
      <c r="FM406" s="104"/>
      <c r="FN406" s="104"/>
      <c r="FO406" s="104"/>
      <c r="FP406" s="104"/>
      <c r="FQ406" s="104"/>
      <c r="FR406" s="104"/>
      <c r="FS406" s="104"/>
      <c r="FT406" s="104"/>
      <c r="FU406" s="104"/>
      <c r="FV406" s="104"/>
      <c r="FW406" s="104"/>
      <c r="FX406" s="104"/>
      <c r="FY406" s="104"/>
      <c r="FZ406" s="104"/>
      <c r="GA406" s="104"/>
      <c r="GB406" s="104"/>
      <c r="GC406" s="104"/>
      <c r="GD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  <c r="HA406" s="104"/>
      <c r="HB406" s="104"/>
      <c r="HC406" s="104"/>
      <c r="HD406" s="104"/>
      <c r="HE406" s="104"/>
      <c r="HF406" s="104"/>
      <c r="HG406" s="104"/>
      <c r="HH406" s="104"/>
      <c r="HI406" s="104"/>
      <c r="HJ406" s="104"/>
      <c r="HK406" s="104"/>
      <c r="HL406" s="104"/>
      <c r="HM406" s="104"/>
      <c r="HN406" s="104"/>
      <c r="HO406" s="104"/>
      <c r="HP406" s="104"/>
      <c r="HQ406" s="104"/>
      <c r="HR406" s="104"/>
      <c r="HS406" s="104"/>
      <c r="HT406" s="104"/>
      <c r="HU406" s="104"/>
      <c r="HV406" s="104"/>
      <c r="HW406" s="104"/>
      <c r="HX406" s="104"/>
      <c r="HY406" s="104"/>
      <c r="HZ406" s="104"/>
      <c r="IA406" s="104"/>
      <c r="IB406" s="104"/>
      <c r="IC406" s="104"/>
      <c r="ID406" s="104"/>
      <c r="IE406" s="104"/>
      <c r="IF406" s="104"/>
      <c r="IG406" s="104"/>
      <c r="IH406" s="104"/>
      <c r="II406" s="104"/>
      <c r="IJ406" s="104"/>
      <c r="IK406" s="104"/>
      <c r="IL406" s="104"/>
      <c r="IM406" s="104"/>
      <c r="IN406" s="104"/>
      <c r="IO406" s="104"/>
      <c r="IP406" s="104"/>
      <c r="IQ406" s="104"/>
      <c r="IR406" s="104"/>
      <c r="IS406" s="104"/>
      <c r="IT406" s="104"/>
      <c r="IU406" s="104"/>
      <c r="IV406" s="104"/>
      <c r="IW406" s="104"/>
      <c r="IX406" s="104"/>
      <c r="IY406" s="104"/>
      <c r="IZ406" s="104"/>
      <c r="JA406" s="104"/>
    </row>
    <row r="407" spans="61:261" x14ac:dyDescent="0.2">
      <c r="BI407" s="104"/>
      <c r="BJ407" s="104"/>
      <c r="BK407" s="104"/>
      <c r="BL407" s="104"/>
      <c r="BM407" s="104"/>
      <c r="BN407" s="104"/>
      <c r="BO407" s="104"/>
      <c r="BP407" s="104"/>
      <c r="BQ407" s="104"/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4"/>
      <c r="CB407" s="104"/>
      <c r="CC407" s="104"/>
      <c r="CD407" s="104"/>
      <c r="CE407" s="104"/>
      <c r="CF407" s="104"/>
      <c r="CG407" s="104"/>
      <c r="CH407" s="104"/>
      <c r="CI407" s="104"/>
      <c r="CJ407" s="104"/>
      <c r="CK407" s="104"/>
      <c r="CL407" s="104"/>
      <c r="CM407" s="104"/>
      <c r="CN407" s="104"/>
      <c r="CO407" s="104"/>
      <c r="CP407" s="104"/>
      <c r="CQ407" s="104"/>
      <c r="CR407" s="104"/>
      <c r="CS407" s="104"/>
      <c r="CT407" s="104"/>
      <c r="CU407" s="104"/>
      <c r="CV407" s="104"/>
      <c r="CW407" s="104"/>
      <c r="CX407" s="104"/>
      <c r="CY407" s="104"/>
      <c r="CZ407" s="104"/>
      <c r="DA407" s="104"/>
      <c r="DB407" s="104"/>
      <c r="DC407" s="104"/>
      <c r="DD407" s="104"/>
      <c r="DE407" s="104"/>
      <c r="DF407" s="104"/>
      <c r="DG407" s="104"/>
      <c r="DH407" s="104"/>
      <c r="DI407" s="104"/>
      <c r="DJ407" s="104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104"/>
      <c r="DV407" s="104"/>
      <c r="DW407" s="104"/>
      <c r="DX407" s="104"/>
      <c r="DY407" s="104"/>
      <c r="DZ407" s="104"/>
      <c r="EA407" s="104"/>
      <c r="EB407" s="104"/>
      <c r="EC407" s="104"/>
      <c r="ED407" s="104"/>
      <c r="EE407" s="104"/>
      <c r="EF407" s="104"/>
      <c r="EG407" s="104"/>
      <c r="EH407" s="104"/>
      <c r="EI407" s="104"/>
      <c r="EJ407" s="104"/>
      <c r="EK407" s="104"/>
      <c r="EL407" s="104"/>
      <c r="EM407" s="104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4"/>
      <c r="FA407" s="104"/>
      <c r="FB407" s="104"/>
      <c r="FC407" s="104"/>
      <c r="FD407" s="104"/>
      <c r="FE407" s="104"/>
      <c r="FF407" s="104"/>
      <c r="FG407" s="104"/>
      <c r="FH407" s="104"/>
      <c r="FI407" s="104"/>
      <c r="FJ407" s="104"/>
      <c r="FK407" s="104"/>
      <c r="FL407" s="104"/>
      <c r="FM407" s="104"/>
      <c r="FN407" s="104"/>
      <c r="FO407" s="104"/>
      <c r="FP407" s="104"/>
      <c r="FQ407" s="104"/>
      <c r="FR407" s="104"/>
      <c r="FS407" s="104"/>
      <c r="FT407" s="104"/>
      <c r="FU407" s="104"/>
      <c r="FV407" s="104"/>
      <c r="FW407" s="104"/>
      <c r="FX407" s="104"/>
      <c r="FY407" s="104"/>
      <c r="FZ407" s="104"/>
      <c r="GA407" s="104"/>
      <c r="GB407" s="104"/>
      <c r="GC407" s="104"/>
      <c r="GD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  <c r="HA407" s="104"/>
      <c r="HB407" s="104"/>
      <c r="HC407" s="104"/>
      <c r="HD407" s="104"/>
      <c r="HE407" s="104"/>
      <c r="HF407" s="104"/>
      <c r="HG407" s="104"/>
      <c r="HH407" s="104"/>
      <c r="HI407" s="104"/>
      <c r="HJ407" s="104"/>
      <c r="HK407" s="104"/>
      <c r="HL407" s="104"/>
      <c r="HM407" s="104"/>
      <c r="HN407" s="104"/>
      <c r="HO407" s="104"/>
      <c r="HP407" s="104"/>
      <c r="HQ407" s="104"/>
      <c r="HR407" s="104"/>
      <c r="HS407" s="104"/>
      <c r="HT407" s="104"/>
      <c r="HU407" s="104"/>
      <c r="HV407" s="104"/>
      <c r="HW407" s="104"/>
      <c r="HX407" s="104"/>
      <c r="HY407" s="104"/>
      <c r="HZ407" s="104"/>
      <c r="IA407" s="104"/>
      <c r="IB407" s="104"/>
      <c r="IC407" s="104"/>
      <c r="ID407" s="104"/>
      <c r="IE407" s="104"/>
      <c r="IF407" s="104"/>
      <c r="IG407" s="104"/>
      <c r="IH407" s="104"/>
      <c r="II407" s="104"/>
      <c r="IJ407" s="104"/>
      <c r="IK407" s="104"/>
      <c r="IL407" s="104"/>
      <c r="IM407" s="104"/>
      <c r="IN407" s="104"/>
      <c r="IO407" s="104"/>
      <c r="IP407" s="104"/>
      <c r="IQ407" s="104"/>
      <c r="IR407" s="104"/>
      <c r="IS407" s="104"/>
      <c r="IT407" s="104"/>
      <c r="IU407" s="104"/>
      <c r="IV407" s="104"/>
      <c r="IW407" s="104"/>
      <c r="IX407" s="104"/>
      <c r="IY407" s="104"/>
      <c r="IZ407" s="104"/>
      <c r="JA407" s="104"/>
    </row>
    <row r="408" spans="61:261" x14ac:dyDescent="0.2">
      <c r="BI408" s="104"/>
      <c r="BJ408" s="104"/>
      <c r="BK408" s="104"/>
      <c r="BL408" s="104"/>
      <c r="BM408" s="104"/>
      <c r="BN408" s="104"/>
      <c r="BO408" s="104"/>
      <c r="BP408" s="104"/>
      <c r="BQ408" s="104"/>
      <c r="BR408" s="104"/>
      <c r="BS408" s="104"/>
      <c r="BT408" s="104"/>
      <c r="BU408" s="104"/>
      <c r="BV408" s="104"/>
      <c r="BW408" s="104"/>
      <c r="BX408" s="104"/>
      <c r="BY408" s="104"/>
      <c r="BZ408" s="104"/>
      <c r="CA408" s="104"/>
      <c r="CB408" s="104"/>
      <c r="CC408" s="104"/>
      <c r="CD408" s="104"/>
      <c r="CE408" s="104"/>
      <c r="CF408" s="104"/>
      <c r="CG408" s="104"/>
      <c r="CH408" s="104"/>
      <c r="CI408" s="104"/>
      <c r="CJ408" s="104"/>
      <c r="CK408" s="104"/>
      <c r="CL408" s="104"/>
      <c r="CM408" s="104"/>
      <c r="CN408" s="104"/>
      <c r="CO408" s="104"/>
      <c r="CP408" s="104"/>
      <c r="CQ408" s="104"/>
      <c r="CR408" s="104"/>
      <c r="CS408" s="104"/>
      <c r="CT408" s="104"/>
      <c r="CU408" s="104"/>
      <c r="CV408" s="104"/>
      <c r="CW408" s="104"/>
      <c r="CX408" s="104"/>
      <c r="CY408" s="104"/>
      <c r="CZ408" s="104"/>
      <c r="DA408" s="104"/>
      <c r="DB408" s="104"/>
      <c r="DC408" s="104"/>
      <c r="DD408" s="104"/>
      <c r="DE408" s="104"/>
      <c r="DF408" s="104"/>
      <c r="DG408" s="104"/>
      <c r="DH408" s="104"/>
      <c r="DI408" s="104"/>
      <c r="DJ408" s="104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104"/>
      <c r="DV408" s="104"/>
      <c r="DW408" s="104"/>
      <c r="DX408" s="104"/>
      <c r="DY408" s="104"/>
      <c r="DZ408" s="104"/>
      <c r="EA408" s="104"/>
      <c r="EB408" s="104"/>
      <c r="EC408" s="104"/>
      <c r="ED408" s="104"/>
      <c r="EE408" s="104"/>
      <c r="EF408" s="104"/>
      <c r="EG408" s="104"/>
      <c r="EH408" s="104"/>
      <c r="EI408" s="104"/>
      <c r="EJ408" s="104"/>
      <c r="EK408" s="104"/>
      <c r="EL408" s="104"/>
      <c r="EM408" s="104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04"/>
      <c r="EZ408" s="104"/>
      <c r="FA408" s="104"/>
      <c r="FB408" s="104"/>
      <c r="FC408" s="104"/>
      <c r="FD408" s="104"/>
      <c r="FE408" s="104"/>
      <c r="FF408" s="104"/>
      <c r="FG408" s="104"/>
      <c r="FH408" s="104"/>
      <c r="FI408" s="104"/>
      <c r="FJ408" s="104"/>
      <c r="FK408" s="104"/>
      <c r="FL408" s="104"/>
      <c r="FM408" s="104"/>
      <c r="FN408" s="104"/>
      <c r="FO408" s="104"/>
      <c r="FP408" s="104"/>
      <c r="FQ408" s="104"/>
      <c r="FR408" s="104"/>
      <c r="FS408" s="104"/>
      <c r="FT408" s="104"/>
      <c r="FU408" s="104"/>
      <c r="FV408" s="104"/>
      <c r="FW408" s="104"/>
      <c r="FX408" s="104"/>
      <c r="FY408" s="104"/>
      <c r="FZ408" s="104"/>
      <c r="GA408" s="104"/>
      <c r="GB408" s="104"/>
      <c r="GC408" s="104"/>
      <c r="GD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  <c r="HA408" s="104"/>
      <c r="HB408" s="104"/>
      <c r="HC408" s="104"/>
      <c r="HD408" s="104"/>
      <c r="HE408" s="104"/>
      <c r="HF408" s="104"/>
      <c r="HG408" s="104"/>
      <c r="HH408" s="104"/>
      <c r="HI408" s="104"/>
      <c r="HJ408" s="104"/>
      <c r="HK408" s="104"/>
      <c r="HL408" s="104"/>
      <c r="HM408" s="104"/>
      <c r="HN408" s="104"/>
      <c r="HO408" s="104"/>
      <c r="HP408" s="104"/>
      <c r="HQ408" s="104"/>
      <c r="HR408" s="104"/>
      <c r="HS408" s="104"/>
      <c r="HT408" s="104"/>
      <c r="HU408" s="104"/>
      <c r="HV408" s="104"/>
      <c r="HW408" s="104"/>
      <c r="HX408" s="104"/>
      <c r="HY408" s="104"/>
      <c r="HZ408" s="104"/>
      <c r="IA408" s="104"/>
      <c r="IB408" s="104"/>
      <c r="IC408" s="104"/>
      <c r="ID408" s="104"/>
      <c r="IE408" s="104"/>
      <c r="IF408" s="104"/>
      <c r="IG408" s="104"/>
      <c r="IH408" s="104"/>
      <c r="II408" s="104"/>
      <c r="IJ408" s="104"/>
      <c r="IK408" s="104"/>
      <c r="IL408" s="104"/>
      <c r="IM408" s="104"/>
      <c r="IN408" s="104"/>
      <c r="IO408" s="104"/>
      <c r="IP408" s="104"/>
      <c r="IQ408" s="104"/>
      <c r="IR408" s="104"/>
      <c r="IS408" s="104"/>
      <c r="IT408" s="104"/>
      <c r="IU408" s="104"/>
      <c r="IV408" s="104"/>
      <c r="IW408" s="104"/>
      <c r="IX408" s="104"/>
      <c r="IY408" s="104"/>
      <c r="IZ408" s="104"/>
      <c r="JA408" s="104"/>
    </row>
    <row r="409" spans="61:261" x14ac:dyDescent="0.2">
      <c r="BI409" s="104"/>
      <c r="BJ409" s="104"/>
      <c r="BK409" s="104"/>
      <c r="BL409" s="104"/>
      <c r="BM409" s="104"/>
      <c r="BN409" s="104"/>
      <c r="BO409" s="104"/>
      <c r="BP409" s="104"/>
      <c r="BQ409" s="104"/>
      <c r="BR409" s="104"/>
      <c r="BS409" s="104"/>
      <c r="BT409" s="104"/>
      <c r="BU409" s="104"/>
      <c r="BV409" s="104"/>
      <c r="BW409" s="104"/>
      <c r="BX409" s="104"/>
      <c r="BY409" s="104"/>
      <c r="BZ409" s="104"/>
      <c r="CA409" s="104"/>
      <c r="CB409" s="104"/>
      <c r="CC409" s="104"/>
      <c r="CD409" s="104"/>
      <c r="CE409" s="104"/>
      <c r="CF409" s="104"/>
      <c r="CG409" s="104"/>
      <c r="CH409" s="104"/>
      <c r="CI409" s="104"/>
      <c r="CJ409" s="104"/>
      <c r="CK409" s="104"/>
      <c r="CL409" s="104"/>
      <c r="CM409" s="104"/>
      <c r="CN409" s="104"/>
      <c r="CO409" s="104"/>
      <c r="CP409" s="104"/>
      <c r="CQ409" s="104"/>
      <c r="CR409" s="104"/>
      <c r="CS409" s="104"/>
      <c r="CT409" s="104"/>
      <c r="CU409" s="104"/>
      <c r="CV409" s="104"/>
      <c r="CW409" s="104"/>
      <c r="CX409" s="104"/>
      <c r="CY409" s="104"/>
      <c r="CZ409" s="104"/>
      <c r="DA409" s="104"/>
      <c r="DB409" s="104"/>
      <c r="DC409" s="104"/>
      <c r="DD409" s="104"/>
      <c r="DE409" s="104"/>
      <c r="DF409" s="104"/>
      <c r="DG409" s="104"/>
      <c r="DH409" s="104"/>
      <c r="DI409" s="104"/>
      <c r="DJ409" s="104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104"/>
      <c r="DV409" s="104"/>
      <c r="DW409" s="104"/>
      <c r="DX409" s="104"/>
      <c r="DY409" s="104"/>
      <c r="DZ409" s="104"/>
      <c r="EA409" s="104"/>
      <c r="EB409" s="104"/>
      <c r="EC409" s="104"/>
      <c r="ED409" s="104"/>
      <c r="EE409" s="104"/>
      <c r="EF409" s="104"/>
      <c r="EG409" s="104"/>
      <c r="EH409" s="104"/>
      <c r="EI409" s="104"/>
      <c r="EJ409" s="104"/>
      <c r="EK409" s="104"/>
      <c r="EL409" s="104"/>
      <c r="EM409" s="104"/>
      <c r="EN409" s="104"/>
      <c r="EO409" s="104"/>
      <c r="EP409" s="104"/>
      <c r="EQ409" s="104"/>
      <c r="ER409" s="104"/>
      <c r="ES409" s="104"/>
      <c r="ET409" s="104"/>
      <c r="EU409" s="104"/>
      <c r="EV409" s="104"/>
      <c r="EW409" s="104"/>
      <c r="EX409" s="104"/>
      <c r="EY409" s="104"/>
      <c r="EZ409" s="104"/>
      <c r="FA409" s="104"/>
      <c r="FB409" s="104"/>
      <c r="FC409" s="104"/>
      <c r="FD409" s="104"/>
      <c r="FE409" s="104"/>
      <c r="FF409" s="104"/>
      <c r="FG409" s="104"/>
      <c r="FH409" s="104"/>
      <c r="FI409" s="104"/>
      <c r="FJ409" s="104"/>
      <c r="FK409" s="104"/>
      <c r="FL409" s="104"/>
      <c r="FM409" s="104"/>
      <c r="FN409" s="104"/>
      <c r="FO409" s="104"/>
      <c r="FP409" s="104"/>
      <c r="FQ409" s="104"/>
      <c r="FR409" s="104"/>
      <c r="FS409" s="104"/>
      <c r="FT409" s="104"/>
      <c r="FU409" s="104"/>
      <c r="FV409" s="104"/>
      <c r="FW409" s="104"/>
      <c r="FX409" s="104"/>
      <c r="FY409" s="104"/>
      <c r="FZ409" s="104"/>
      <c r="GA409" s="104"/>
      <c r="GB409" s="104"/>
      <c r="GC409" s="104"/>
      <c r="GD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  <c r="HA409" s="104"/>
      <c r="HB409" s="104"/>
      <c r="HC409" s="104"/>
      <c r="HD409" s="104"/>
      <c r="HE409" s="104"/>
      <c r="HF409" s="104"/>
      <c r="HG409" s="104"/>
      <c r="HH409" s="104"/>
      <c r="HI409" s="104"/>
      <c r="HJ409" s="104"/>
      <c r="HK409" s="104"/>
      <c r="HL409" s="104"/>
      <c r="HM409" s="104"/>
      <c r="HN409" s="104"/>
      <c r="HO409" s="104"/>
      <c r="HP409" s="104"/>
      <c r="HQ409" s="104"/>
      <c r="HR409" s="104"/>
      <c r="HS409" s="104"/>
      <c r="HT409" s="104"/>
      <c r="HU409" s="104"/>
      <c r="HV409" s="104"/>
      <c r="HW409" s="104"/>
      <c r="HX409" s="104"/>
      <c r="HY409" s="104"/>
      <c r="HZ409" s="104"/>
      <c r="IA409" s="104"/>
      <c r="IB409" s="104"/>
      <c r="IC409" s="104"/>
      <c r="ID409" s="104"/>
      <c r="IE409" s="104"/>
      <c r="IF409" s="104"/>
      <c r="IG409" s="104"/>
      <c r="IH409" s="104"/>
      <c r="II409" s="104"/>
      <c r="IJ409" s="104"/>
      <c r="IK409" s="104"/>
      <c r="IL409" s="104"/>
      <c r="IM409" s="104"/>
      <c r="IN409" s="104"/>
      <c r="IO409" s="104"/>
      <c r="IP409" s="104"/>
      <c r="IQ409" s="104"/>
      <c r="IR409" s="104"/>
      <c r="IS409" s="104"/>
      <c r="IT409" s="104"/>
      <c r="IU409" s="104"/>
      <c r="IV409" s="104"/>
      <c r="IW409" s="104"/>
      <c r="IX409" s="104"/>
      <c r="IY409" s="104"/>
      <c r="IZ409" s="104"/>
      <c r="JA409" s="104"/>
    </row>
    <row r="410" spans="61:261" x14ac:dyDescent="0.2">
      <c r="BI410" s="104"/>
      <c r="BJ410" s="104"/>
      <c r="BK410" s="104"/>
      <c r="BL410" s="104"/>
      <c r="BM410" s="104"/>
      <c r="BN410" s="104"/>
      <c r="BO410" s="104"/>
      <c r="BP410" s="104"/>
      <c r="BQ410" s="104"/>
      <c r="BR410" s="104"/>
      <c r="BS410" s="104"/>
      <c r="BT410" s="104"/>
      <c r="BU410" s="104"/>
      <c r="BV410" s="104"/>
      <c r="BW410" s="104"/>
      <c r="BX410" s="104"/>
      <c r="BY410" s="104"/>
      <c r="BZ410" s="104"/>
      <c r="CA410" s="104"/>
      <c r="CB410" s="104"/>
      <c r="CC410" s="104"/>
      <c r="CD410" s="104"/>
      <c r="CE410" s="104"/>
      <c r="CF410" s="104"/>
      <c r="CG410" s="104"/>
      <c r="CH410" s="104"/>
      <c r="CI410" s="104"/>
      <c r="CJ410" s="104"/>
      <c r="CK410" s="104"/>
      <c r="CL410" s="104"/>
      <c r="CM410" s="104"/>
      <c r="CN410" s="104"/>
      <c r="CO410" s="104"/>
      <c r="CP410" s="104"/>
      <c r="CQ410" s="104"/>
      <c r="CR410" s="104"/>
      <c r="CS410" s="104"/>
      <c r="CT410" s="104"/>
      <c r="CU410" s="104"/>
      <c r="CV410" s="104"/>
      <c r="CW410" s="104"/>
      <c r="CX410" s="104"/>
      <c r="CY410" s="104"/>
      <c r="CZ410" s="104"/>
      <c r="DA410" s="104"/>
      <c r="DB410" s="104"/>
      <c r="DC410" s="104"/>
      <c r="DD410" s="104"/>
      <c r="DE410" s="104"/>
      <c r="DF410" s="104"/>
      <c r="DG410" s="104"/>
      <c r="DH410" s="104"/>
      <c r="DI410" s="104"/>
      <c r="DJ410" s="104"/>
      <c r="DK410" s="104"/>
      <c r="DL410" s="104"/>
      <c r="DM410" s="104"/>
      <c r="DN410" s="104"/>
      <c r="DO410" s="104"/>
      <c r="DP410" s="104"/>
      <c r="DQ410" s="104"/>
      <c r="DR410" s="104"/>
      <c r="DS410" s="104"/>
      <c r="DT410" s="104"/>
      <c r="DU410" s="104"/>
      <c r="DV410" s="104"/>
      <c r="DW410" s="104"/>
      <c r="DX410" s="104"/>
      <c r="DY410" s="104"/>
      <c r="DZ410" s="104"/>
      <c r="EA410" s="104"/>
      <c r="EB410" s="104"/>
      <c r="EC410" s="104"/>
      <c r="ED410" s="104"/>
      <c r="EE410" s="104"/>
      <c r="EF410" s="104"/>
      <c r="EG410" s="104"/>
      <c r="EH410" s="104"/>
      <c r="EI410" s="104"/>
      <c r="EJ410" s="104"/>
      <c r="EK410" s="104"/>
      <c r="EL410" s="104"/>
      <c r="EM410" s="104"/>
      <c r="EN410" s="104"/>
      <c r="EO410" s="104"/>
      <c r="EP410" s="104"/>
      <c r="EQ410" s="104"/>
      <c r="ER410" s="104"/>
      <c r="ES410" s="104"/>
      <c r="ET410" s="104"/>
      <c r="EU410" s="104"/>
      <c r="EV410" s="104"/>
      <c r="EW410" s="104"/>
      <c r="EX410" s="104"/>
      <c r="EY410" s="104"/>
      <c r="EZ410" s="104"/>
      <c r="FA410" s="104"/>
      <c r="FB410" s="104"/>
      <c r="FC410" s="104"/>
      <c r="FD410" s="104"/>
      <c r="FE410" s="104"/>
      <c r="FF410" s="104"/>
      <c r="FG410" s="104"/>
      <c r="FH410" s="104"/>
      <c r="FI410" s="104"/>
      <c r="FJ410" s="104"/>
      <c r="FK410" s="104"/>
      <c r="FL410" s="104"/>
      <c r="FM410" s="104"/>
      <c r="FN410" s="104"/>
      <c r="FO410" s="104"/>
      <c r="FP410" s="104"/>
      <c r="FQ410" s="104"/>
      <c r="FR410" s="104"/>
      <c r="FS410" s="104"/>
      <c r="FT410" s="104"/>
      <c r="FU410" s="104"/>
      <c r="FV410" s="104"/>
      <c r="FW410" s="104"/>
      <c r="FX410" s="104"/>
      <c r="FY410" s="104"/>
      <c r="FZ410" s="104"/>
      <c r="GA410" s="104"/>
      <c r="GB410" s="104"/>
      <c r="GC410" s="104"/>
      <c r="GD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  <c r="HA410" s="104"/>
      <c r="HB410" s="104"/>
      <c r="HC410" s="104"/>
      <c r="HD410" s="104"/>
      <c r="HE410" s="104"/>
      <c r="HF410" s="104"/>
      <c r="HG410" s="104"/>
      <c r="HH410" s="104"/>
      <c r="HI410" s="104"/>
      <c r="HJ410" s="104"/>
      <c r="HK410" s="104"/>
      <c r="HL410" s="104"/>
      <c r="HM410" s="104"/>
      <c r="HN410" s="104"/>
      <c r="HO410" s="104"/>
      <c r="HP410" s="104"/>
      <c r="HQ410" s="104"/>
      <c r="HR410" s="104"/>
      <c r="HS410" s="104"/>
      <c r="HT410" s="104"/>
      <c r="HU410" s="104"/>
      <c r="HV410" s="104"/>
      <c r="HW410" s="104"/>
      <c r="HX410" s="104"/>
      <c r="HY410" s="104"/>
      <c r="HZ410" s="104"/>
      <c r="IA410" s="104"/>
      <c r="IB410" s="104"/>
      <c r="IC410" s="104"/>
      <c r="ID410" s="104"/>
      <c r="IE410" s="104"/>
      <c r="IF410" s="104"/>
      <c r="IG410" s="104"/>
      <c r="IH410" s="104"/>
      <c r="II410" s="104"/>
      <c r="IJ410" s="104"/>
      <c r="IK410" s="104"/>
      <c r="IL410" s="104"/>
      <c r="IM410" s="104"/>
      <c r="IN410" s="104"/>
      <c r="IO410" s="104"/>
      <c r="IP410" s="104"/>
      <c r="IQ410" s="104"/>
      <c r="IR410" s="104"/>
      <c r="IS410" s="104"/>
      <c r="IT410" s="104"/>
      <c r="IU410" s="104"/>
      <c r="IV410" s="104"/>
      <c r="IW410" s="104"/>
      <c r="IX410" s="104"/>
      <c r="IY410" s="104"/>
      <c r="IZ410" s="104"/>
      <c r="JA410" s="104"/>
    </row>
    <row r="411" spans="61:261" x14ac:dyDescent="0.2">
      <c r="BI411" s="104"/>
      <c r="BJ411" s="104"/>
      <c r="BK411" s="104"/>
      <c r="BL411" s="104"/>
      <c r="BM411" s="104"/>
      <c r="BN411" s="104"/>
      <c r="BO411" s="104"/>
      <c r="BP411" s="104"/>
      <c r="BQ411" s="104"/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4"/>
      <c r="CB411" s="104"/>
      <c r="CC411" s="104"/>
      <c r="CD411" s="104"/>
      <c r="CE411" s="104"/>
      <c r="CF411" s="104"/>
      <c r="CG411" s="104"/>
      <c r="CH411" s="104"/>
      <c r="CI411" s="104"/>
      <c r="CJ411" s="104"/>
      <c r="CK411" s="104"/>
      <c r="CL411" s="104"/>
      <c r="CM411" s="104"/>
      <c r="CN411" s="104"/>
      <c r="CO411" s="104"/>
      <c r="CP411" s="104"/>
      <c r="CQ411" s="104"/>
      <c r="CR411" s="104"/>
      <c r="CS411" s="104"/>
      <c r="CT411" s="104"/>
      <c r="CU411" s="104"/>
      <c r="CV411" s="104"/>
      <c r="CW411" s="104"/>
      <c r="CX411" s="104"/>
      <c r="CY411" s="104"/>
      <c r="CZ411" s="104"/>
      <c r="DA411" s="104"/>
      <c r="DB411" s="104"/>
      <c r="DC411" s="104"/>
      <c r="DD411" s="104"/>
      <c r="DE411" s="104"/>
      <c r="DF411" s="104"/>
      <c r="DG411" s="104"/>
      <c r="DH411" s="104"/>
      <c r="DI411" s="104"/>
      <c r="DJ411" s="104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104"/>
      <c r="DV411" s="104"/>
      <c r="DW411" s="104"/>
      <c r="DX411" s="104"/>
      <c r="DY411" s="104"/>
      <c r="DZ411" s="104"/>
      <c r="EA411" s="104"/>
      <c r="EB411" s="104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4"/>
      <c r="FA411" s="104"/>
      <c r="FB411" s="104"/>
      <c r="FC411" s="104"/>
      <c r="FD411" s="104"/>
      <c r="FE411" s="104"/>
      <c r="FF411" s="104"/>
      <c r="FG411" s="104"/>
      <c r="FH411" s="104"/>
      <c r="FI411" s="104"/>
      <c r="FJ411" s="104"/>
      <c r="FK411" s="104"/>
      <c r="FL411" s="104"/>
      <c r="FM411" s="104"/>
      <c r="FN411" s="104"/>
      <c r="FO411" s="104"/>
      <c r="FP411" s="104"/>
      <c r="FQ411" s="104"/>
      <c r="FR411" s="104"/>
      <c r="FS411" s="104"/>
      <c r="FT411" s="104"/>
      <c r="FU411" s="104"/>
      <c r="FV411" s="104"/>
      <c r="FW411" s="104"/>
      <c r="FX411" s="104"/>
      <c r="FY411" s="104"/>
      <c r="FZ411" s="104"/>
      <c r="GA411" s="104"/>
      <c r="GB411" s="104"/>
      <c r="GC411" s="104"/>
      <c r="GD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  <c r="HA411" s="104"/>
      <c r="HB411" s="104"/>
      <c r="HC411" s="104"/>
      <c r="HD411" s="104"/>
      <c r="HE411" s="104"/>
      <c r="HF411" s="104"/>
      <c r="HG411" s="104"/>
      <c r="HH411" s="104"/>
      <c r="HI411" s="104"/>
      <c r="HJ411" s="104"/>
      <c r="HK411" s="104"/>
      <c r="HL411" s="104"/>
      <c r="HM411" s="104"/>
      <c r="HN411" s="104"/>
      <c r="HO411" s="104"/>
      <c r="HP411" s="104"/>
      <c r="HQ411" s="104"/>
      <c r="HR411" s="104"/>
      <c r="HS411" s="104"/>
      <c r="HT411" s="104"/>
      <c r="HU411" s="104"/>
      <c r="HV411" s="104"/>
      <c r="HW411" s="104"/>
      <c r="HX411" s="104"/>
      <c r="HY411" s="104"/>
      <c r="HZ411" s="104"/>
      <c r="IA411" s="104"/>
      <c r="IB411" s="104"/>
      <c r="IC411" s="104"/>
      <c r="ID411" s="104"/>
      <c r="IE411" s="104"/>
      <c r="IF411" s="104"/>
      <c r="IG411" s="104"/>
      <c r="IH411" s="104"/>
      <c r="II411" s="104"/>
      <c r="IJ411" s="104"/>
      <c r="IK411" s="104"/>
      <c r="IL411" s="104"/>
      <c r="IM411" s="104"/>
      <c r="IN411" s="104"/>
      <c r="IO411" s="104"/>
      <c r="IP411" s="104"/>
      <c r="IQ411" s="104"/>
      <c r="IR411" s="104"/>
      <c r="IS411" s="104"/>
      <c r="IT411" s="104"/>
      <c r="IU411" s="104"/>
      <c r="IV411" s="104"/>
      <c r="IW411" s="104"/>
      <c r="IX411" s="104"/>
      <c r="IY411" s="104"/>
      <c r="IZ411" s="104"/>
      <c r="JA411" s="104"/>
    </row>
    <row r="412" spans="61:261" x14ac:dyDescent="0.2">
      <c r="BI412" s="104"/>
      <c r="BJ412" s="104"/>
      <c r="BK412" s="104"/>
      <c r="BL412" s="104"/>
      <c r="BM412" s="104"/>
      <c r="BN412" s="104"/>
      <c r="BO412" s="104"/>
      <c r="BP412" s="104"/>
      <c r="BQ412" s="104"/>
      <c r="BR412" s="104"/>
      <c r="BS412" s="104"/>
      <c r="BT412" s="104"/>
      <c r="BU412" s="104"/>
      <c r="BV412" s="104"/>
      <c r="BW412" s="104"/>
      <c r="BX412" s="104"/>
      <c r="BY412" s="104"/>
      <c r="BZ412" s="104"/>
      <c r="CA412" s="104"/>
      <c r="CB412" s="104"/>
      <c r="CC412" s="104"/>
      <c r="CD412" s="104"/>
      <c r="CE412" s="104"/>
      <c r="CF412" s="104"/>
      <c r="CG412" s="104"/>
      <c r="CH412" s="104"/>
      <c r="CI412" s="104"/>
      <c r="CJ412" s="104"/>
      <c r="CK412" s="104"/>
      <c r="CL412" s="104"/>
      <c r="CM412" s="104"/>
      <c r="CN412" s="104"/>
      <c r="CO412" s="104"/>
      <c r="CP412" s="104"/>
      <c r="CQ412" s="104"/>
      <c r="CR412" s="104"/>
      <c r="CS412" s="104"/>
      <c r="CT412" s="104"/>
      <c r="CU412" s="104"/>
      <c r="CV412" s="104"/>
      <c r="CW412" s="104"/>
      <c r="CX412" s="104"/>
      <c r="CY412" s="104"/>
      <c r="CZ412" s="104"/>
      <c r="DA412" s="104"/>
      <c r="DB412" s="104"/>
      <c r="DC412" s="104"/>
      <c r="DD412" s="104"/>
      <c r="DE412" s="104"/>
      <c r="DF412" s="104"/>
      <c r="DG412" s="104"/>
      <c r="DH412" s="104"/>
      <c r="DI412" s="104"/>
      <c r="DJ412" s="104"/>
      <c r="DK412" s="104"/>
      <c r="DL412" s="104"/>
      <c r="DM412" s="104"/>
      <c r="DN412" s="104"/>
      <c r="DO412" s="104"/>
      <c r="DP412" s="104"/>
      <c r="DQ412" s="104"/>
      <c r="DR412" s="104"/>
      <c r="DS412" s="104"/>
      <c r="DT412" s="104"/>
      <c r="DU412" s="104"/>
      <c r="DV412" s="104"/>
      <c r="DW412" s="104"/>
      <c r="DX412" s="104"/>
      <c r="DY412" s="104"/>
      <c r="DZ412" s="104"/>
      <c r="EA412" s="104"/>
      <c r="EB412" s="104"/>
      <c r="EC412" s="104"/>
      <c r="ED412" s="104"/>
      <c r="EE412" s="104"/>
      <c r="EF412" s="104"/>
      <c r="EG412" s="104"/>
      <c r="EH412" s="104"/>
      <c r="EI412" s="104"/>
      <c r="EJ412" s="104"/>
      <c r="EK412" s="104"/>
      <c r="EL412" s="104"/>
      <c r="EM412" s="104"/>
      <c r="EN412" s="104"/>
      <c r="EO412" s="104"/>
      <c r="EP412" s="104"/>
      <c r="EQ412" s="104"/>
      <c r="ER412" s="104"/>
      <c r="ES412" s="104"/>
      <c r="ET412" s="104"/>
      <c r="EU412" s="104"/>
      <c r="EV412" s="104"/>
      <c r="EW412" s="104"/>
      <c r="EX412" s="104"/>
      <c r="EY412" s="104"/>
      <c r="EZ412" s="104"/>
      <c r="FA412" s="104"/>
      <c r="FB412" s="104"/>
      <c r="FC412" s="104"/>
      <c r="FD412" s="104"/>
      <c r="FE412" s="104"/>
      <c r="FF412" s="104"/>
      <c r="FG412" s="104"/>
      <c r="FH412" s="104"/>
      <c r="FI412" s="104"/>
      <c r="FJ412" s="104"/>
      <c r="FK412" s="104"/>
      <c r="FL412" s="104"/>
      <c r="FM412" s="104"/>
      <c r="FN412" s="104"/>
      <c r="FO412" s="104"/>
      <c r="FP412" s="104"/>
      <c r="FQ412" s="104"/>
      <c r="FR412" s="104"/>
      <c r="FS412" s="104"/>
      <c r="FT412" s="104"/>
      <c r="FU412" s="104"/>
      <c r="FV412" s="104"/>
      <c r="FW412" s="104"/>
      <c r="FX412" s="104"/>
      <c r="FY412" s="104"/>
      <c r="FZ412" s="104"/>
      <c r="GA412" s="104"/>
      <c r="GB412" s="104"/>
      <c r="GC412" s="104"/>
      <c r="GD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  <c r="HA412" s="104"/>
      <c r="HB412" s="104"/>
      <c r="HC412" s="104"/>
      <c r="HD412" s="104"/>
      <c r="HE412" s="104"/>
      <c r="HF412" s="104"/>
      <c r="HG412" s="104"/>
      <c r="HH412" s="104"/>
      <c r="HI412" s="104"/>
      <c r="HJ412" s="104"/>
      <c r="HK412" s="104"/>
      <c r="HL412" s="104"/>
      <c r="HM412" s="104"/>
      <c r="HN412" s="104"/>
      <c r="HO412" s="104"/>
      <c r="HP412" s="104"/>
      <c r="HQ412" s="104"/>
      <c r="HR412" s="104"/>
      <c r="HS412" s="104"/>
      <c r="HT412" s="104"/>
      <c r="HU412" s="104"/>
      <c r="HV412" s="104"/>
      <c r="HW412" s="104"/>
      <c r="HX412" s="104"/>
      <c r="HY412" s="104"/>
      <c r="HZ412" s="104"/>
      <c r="IA412" s="104"/>
      <c r="IB412" s="104"/>
      <c r="IC412" s="104"/>
      <c r="ID412" s="104"/>
      <c r="IE412" s="104"/>
      <c r="IF412" s="104"/>
      <c r="IG412" s="104"/>
      <c r="IH412" s="104"/>
      <c r="II412" s="104"/>
      <c r="IJ412" s="104"/>
      <c r="IK412" s="104"/>
      <c r="IL412" s="104"/>
      <c r="IM412" s="104"/>
      <c r="IN412" s="104"/>
      <c r="IO412" s="104"/>
      <c r="IP412" s="104"/>
      <c r="IQ412" s="104"/>
      <c r="IR412" s="104"/>
      <c r="IS412" s="104"/>
      <c r="IT412" s="104"/>
      <c r="IU412" s="104"/>
      <c r="IV412" s="104"/>
      <c r="IW412" s="104"/>
      <c r="IX412" s="104"/>
      <c r="IY412" s="104"/>
      <c r="IZ412" s="104"/>
      <c r="JA412" s="104"/>
    </row>
    <row r="413" spans="61:261" x14ac:dyDescent="0.2">
      <c r="BI413" s="104"/>
      <c r="BJ413" s="104"/>
      <c r="BK413" s="104"/>
      <c r="BL413" s="104"/>
      <c r="BM413" s="104"/>
      <c r="BN413" s="104"/>
      <c r="BO413" s="104"/>
      <c r="BP413" s="104"/>
      <c r="BQ413" s="104"/>
      <c r="BR413" s="104"/>
      <c r="BS413" s="104"/>
      <c r="BT413" s="104"/>
      <c r="BU413" s="104"/>
      <c r="BV413" s="104"/>
      <c r="BW413" s="104"/>
      <c r="BX413" s="104"/>
      <c r="BY413" s="104"/>
      <c r="BZ413" s="104"/>
      <c r="CA413" s="104"/>
      <c r="CB413" s="104"/>
      <c r="CC413" s="104"/>
      <c r="CD413" s="104"/>
      <c r="CE413" s="104"/>
      <c r="CF413" s="104"/>
      <c r="CG413" s="104"/>
      <c r="CH413" s="104"/>
      <c r="CI413" s="104"/>
      <c r="CJ413" s="104"/>
      <c r="CK413" s="104"/>
      <c r="CL413" s="104"/>
      <c r="CM413" s="104"/>
      <c r="CN413" s="104"/>
      <c r="CO413" s="104"/>
      <c r="CP413" s="104"/>
      <c r="CQ413" s="104"/>
      <c r="CR413" s="104"/>
      <c r="CS413" s="104"/>
      <c r="CT413" s="104"/>
      <c r="CU413" s="104"/>
      <c r="CV413" s="104"/>
      <c r="CW413" s="104"/>
      <c r="CX413" s="104"/>
      <c r="CY413" s="104"/>
      <c r="CZ413" s="104"/>
      <c r="DA413" s="104"/>
      <c r="DB413" s="104"/>
      <c r="DC413" s="104"/>
      <c r="DD413" s="104"/>
      <c r="DE413" s="104"/>
      <c r="DF413" s="104"/>
      <c r="DG413" s="104"/>
      <c r="DH413" s="104"/>
      <c r="DI413" s="104"/>
      <c r="DJ413" s="104"/>
      <c r="DK413" s="104"/>
      <c r="DL413" s="104"/>
      <c r="DM413" s="104"/>
      <c r="DN413" s="104"/>
      <c r="DO413" s="104"/>
      <c r="DP413" s="104"/>
      <c r="DQ413" s="104"/>
      <c r="DR413" s="104"/>
      <c r="DS413" s="104"/>
      <c r="DT413" s="104"/>
      <c r="DU413" s="104"/>
      <c r="DV413" s="104"/>
      <c r="DW413" s="104"/>
      <c r="DX413" s="104"/>
      <c r="DY413" s="104"/>
      <c r="DZ413" s="104"/>
      <c r="EA413" s="104"/>
      <c r="EB413" s="104"/>
      <c r="EC413" s="104"/>
      <c r="ED413" s="104"/>
      <c r="EE413" s="104"/>
      <c r="EF413" s="104"/>
      <c r="EG413" s="104"/>
      <c r="EH413" s="104"/>
      <c r="EI413" s="104"/>
      <c r="EJ413" s="104"/>
      <c r="EK413" s="104"/>
      <c r="EL413" s="104"/>
      <c r="EM413" s="104"/>
      <c r="EN413" s="104"/>
      <c r="EO413" s="104"/>
      <c r="EP413" s="104"/>
      <c r="EQ413" s="104"/>
      <c r="ER413" s="104"/>
      <c r="ES413" s="104"/>
      <c r="ET413" s="104"/>
      <c r="EU413" s="104"/>
      <c r="EV413" s="104"/>
      <c r="EW413" s="104"/>
      <c r="EX413" s="104"/>
      <c r="EY413" s="104"/>
      <c r="EZ413" s="104"/>
      <c r="FA413" s="104"/>
      <c r="FB413" s="104"/>
      <c r="FC413" s="104"/>
      <c r="FD413" s="104"/>
      <c r="FE413" s="104"/>
      <c r="FF413" s="104"/>
      <c r="FG413" s="104"/>
      <c r="FH413" s="104"/>
      <c r="FI413" s="104"/>
      <c r="FJ413" s="104"/>
      <c r="FK413" s="104"/>
      <c r="FL413" s="104"/>
      <c r="FM413" s="104"/>
      <c r="FN413" s="104"/>
      <c r="FO413" s="104"/>
      <c r="FP413" s="104"/>
      <c r="FQ413" s="104"/>
      <c r="FR413" s="104"/>
      <c r="FS413" s="104"/>
      <c r="FT413" s="104"/>
      <c r="FU413" s="104"/>
      <c r="FV413" s="104"/>
      <c r="FW413" s="104"/>
      <c r="FX413" s="104"/>
      <c r="FY413" s="104"/>
      <c r="FZ413" s="104"/>
      <c r="GA413" s="104"/>
      <c r="GB413" s="104"/>
      <c r="GC413" s="104"/>
      <c r="GD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  <c r="HA413" s="104"/>
      <c r="HB413" s="104"/>
      <c r="HC413" s="104"/>
      <c r="HD413" s="104"/>
      <c r="HE413" s="104"/>
      <c r="HF413" s="104"/>
      <c r="HG413" s="104"/>
      <c r="HH413" s="104"/>
      <c r="HI413" s="104"/>
      <c r="HJ413" s="104"/>
      <c r="HK413" s="104"/>
      <c r="HL413" s="104"/>
      <c r="HM413" s="104"/>
      <c r="HN413" s="104"/>
      <c r="HO413" s="104"/>
      <c r="HP413" s="104"/>
      <c r="HQ413" s="104"/>
      <c r="HR413" s="104"/>
      <c r="HS413" s="104"/>
      <c r="HT413" s="104"/>
      <c r="HU413" s="104"/>
      <c r="HV413" s="104"/>
      <c r="HW413" s="104"/>
      <c r="HX413" s="104"/>
      <c r="HY413" s="104"/>
      <c r="HZ413" s="104"/>
      <c r="IA413" s="104"/>
      <c r="IB413" s="104"/>
      <c r="IC413" s="104"/>
      <c r="ID413" s="104"/>
      <c r="IE413" s="104"/>
      <c r="IF413" s="104"/>
      <c r="IG413" s="104"/>
      <c r="IH413" s="104"/>
      <c r="II413" s="104"/>
      <c r="IJ413" s="104"/>
      <c r="IK413" s="104"/>
      <c r="IL413" s="104"/>
      <c r="IM413" s="104"/>
      <c r="IN413" s="104"/>
      <c r="IO413" s="104"/>
      <c r="IP413" s="104"/>
      <c r="IQ413" s="104"/>
      <c r="IR413" s="104"/>
      <c r="IS413" s="104"/>
      <c r="IT413" s="104"/>
      <c r="IU413" s="104"/>
      <c r="IV413" s="104"/>
      <c r="IW413" s="104"/>
      <c r="IX413" s="104"/>
      <c r="IY413" s="104"/>
      <c r="IZ413" s="104"/>
      <c r="JA413" s="104"/>
    </row>
    <row r="414" spans="61:261" x14ac:dyDescent="0.2">
      <c r="BI414" s="104"/>
      <c r="BJ414" s="104"/>
      <c r="BK414" s="104"/>
      <c r="BL414" s="104"/>
      <c r="BM414" s="104"/>
      <c r="BN414" s="104"/>
      <c r="BO414" s="104"/>
      <c r="BP414" s="104"/>
      <c r="BQ414" s="104"/>
      <c r="BR414" s="104"/>
      <c r="BS414" s="104"/>
      <c r="BT414" s="104"/>
      <c r="BU414" s="104"/>
      <c r="BV414" s="104"/>
      <c r="BW414" s="104"/>
      <c r="BX414" s="104"/>
      <c r="BY414" s="104"/>
      <c r="BZ414" s="104"/>
      <c r="CA414" s="104"/>
      <c r="CB414" s="104"/>
      <c r="CC414" s="104"/>
      <c r="CD414" s="104"/>
      <c r="CE414" s="104"/>
      <c r="CF414" s="104"/>
      <c r="CG414" s="104"/>
      <c r="CH414" s="104"/>
      <c r="CI414" s="104"/>
      <c r="CJ414" s="104"/>
      <c r="CK414" s="104"/>
      <c r="CL414" s="104"/>
      <c r="CM414" s="104"/>
      <c r="CN414" s="104"/>
      <c r="CO414" s="104"/>
      <c r="CP414" s="104"/>
      <c r="CQ414" s="104"/>
      <c r="CR414" s="104"/>
      <c r="CS414" s="104"/>
      <c r="CT414" s="104"/>
      <c r="CU414" s="104"/>
      <c r="CV414" s="104"/>
      <c r="CW414" s="104"/>
      <c r="CX414" s="104"/>
      <c r="CY414" s="104"/>
      <c r="CZ414" s="104"/>
      <c r="DA414" s="104"/>
      <c r="DB414" s="104"/>
      <c r="DC414" s="104"/>
      <c r="DD414" s="104"/>
      <c r="DE414" s="104"/>
      <c r="DF414" s="104"/>
      <c r="DG414" s="104"/>
      <c r="DH414" s="104"/>
      <c r="DI414" s="104"/>
      <c r="DJ414" s="104"/>
      <c r="DK414" s="104"/>
      <c r="DL414" s="104"/>
      <c r="DM414" s="104"/>
      <c r="DN414" s="104"/>
      <c r="DO414" s="104"/>
      <c r="DP414" s="104"/>
      <c r="DQ414" s="104"/>
      <c r="DR414" s="104"/>
      <c r="DS414" s="104"/>
      <c r="DT414" s="104"/>
      <c r="DU414" s="104"/>
      <c r="DV414" s="104"/>
      <c r="DW414" s="104"/>
      <c r="DX414" s="104"/>
      <c r="DY414" s="104"/>
      <c r="DZ414" s="104"/>
      <c r="EA414" s="104"/>
      <c r="EB414" s="104"/>
      <c r="EC414" s="104"/>
      <c r="ED414" s="104"/>
      <c r="EE414" s="104"/>
      <c r="EF414" s="104"/>
      <c r="EG414" s="104"/>
      <c r="EH414" s="104"/>
      <c r="EI414" s="104"/>
      <c r="EJ414" s="104"/>
      <c r="EK414" s="104"/>
      <c r="EL414" s="104"/>
      <c r="EM414" s="104"/>
      <c r="EN414" s="104"/>
      <c r="EO414" s="104"/>
      <c r="EP414" s="104"/>
      <c r="EQ414" s="104"/>
      <c r="ER414" s="104"/>
      <c r="ES414" s="104"/>
      <c r="ET414" s="104"/>
      <c r="EU414" s="104"/>
      <c r="EV414" s="104"/>
      <c r="EW414" s="104"/>
      <c r="EX414" s="104"/>
      <c r="EY414" s="104"/>
      <c r="EZ414" s="104"/>
      <c r="FA414" s="104"/>
      <c r="FB414" s="104"/>
      <c r="FC414" s="104"/>
      <c r="FD414" s="104"/>
      <c r="FE414" s="104"/>
      <c r="FF414" s="104"/>
      <c r="FG414" s="104"/>
      <c r="FH414" s="104"/>
      <c r="FI414" s="104"/>
      <c r="FJ414" s="104"/>
      <c r="FK414" s="104"/>
      <c r="FL414" s="104"/>
      <c r="FM414" s="104"/>
      <c r="FN414" s="104"/>
      <c r="FO414" s="104"/>
      <c r="FP414" s="104"/>
      <c r="FQ414" s="104"/>
      <c r="FR414" s="104"/>
      <c r="FS414" s="104"/>
      <c r="FT414" s="104"/>
      <c r="FU414" s="104"/>
      <c r="FV414" s="104"/>
      <c r="FW414" s="104"/>
      <c r="FX414" s="104"/>
      <c r="FY414" s="104"/>
      <c r="FZ414" s="104"/>
      <c r="GA414" s="104"/>
      <c r="GB414" s="104"/>
      <c r="GC414" s="104"/>
      <c r="GD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  <c r="HA414" s="104"/>
      <c r="HB414" s="104"/>
      <c r="HC414" s="104"/>
      <c r="HD414" s="104"/>
      <c r="HE414" s="104"/>
      <c r="HF414" s="104"/>
      <c r="HG414" s="104"/>
      <c r="HH414" s="104"/>
      <c r="HI414" s="104"/>
      <c r="HJ414" s="104"/>
      <c r="HK414" s="104"/>
      <c r="HL414" s="104"/>
      <c r="HM414" s="104"/>
      <c r="HN414" s="104"/>
      <c r="HO414" s="104"/>
      <c r="HP414" s="104"/>
      <c r="HQ414" s="104"/>
      <c r="HR414" s="104"/>
      <c r="HS414" s="104"/>
      <c r="HT414" s="104"/>
      <c r="HU414" s="104"/>
      <c r="HV414" s="104"/>
      <c r="HW414" s="104"/>
      <c r="HX414" s="104"/>
      <c r="HY414" s="104"/>
      <c r="HZ414" s="104"/>
      <c r="IA414" s="104"/>
      <c r="IB414" s="104"/>
      <c r="IC414" s="104"/>
      <c r="ID414" s="104"/>
      <c r="IE414" s="104"/>
      <c r="IF414" s="104"/>
      <c r="IG414" s="104"/>
      <c r="IH414" s="104"/>
      <c r="II414" s="104"/>
      <c r="IJ414" s="104"/>
      <c r="IK414" s="104"/>
      <c r="IL414" s="104"/>
      <c r="IM414" s="104"/>
      <c r="IN414" s="104"/>
      <c r="IO414" s="104"/>
      <c r="IP414" s="104"/>
      <c r="IQ414" s="104"/>
      <c r="IR414" s="104"/>
      <c r="IS414" s="104"/>
      <c r="IT414" s="104"/>
      <c r="IU414" s="104"/>
      <c r="IV414" s="104"/>
      <c r="IW414" s="104"/>
      <c r="IX414" s="104"/>
      <c r="IY414" s="104"/>
      <c r="IZ414" s="104"/>
      <c r="JA414" s="104"/>
    </row>
    <row r="415" spans="61:261" x14ac:dyDescent="0.2">
      <c r="BI415" s="104"/>
      <c r="BJ415" s="104"/>
      <c r="BK415" s="104"/>
      <c r="BL415" s="104"/>
      <c r="BM415" s="104"/>
      <c r="BN415" s="104"/>
      <c r="BO415" s="104"/>
      <c r="BP415" s="104"/>
      <c r="BQ415" s="104"/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4"/>
      <c r="CB415" s="104"/>
      <c r="CC415" s="104"/>
      <c r="CD415" s="104"/>
      <c r="CE415" s="104"/>
      <c r="CF415" s="104"/>
      <c r="CG415" s="104"/>
      <c r="CH415" s="104"/>
      <c r="CI415" s="104"/>
      <c r="CJ415" s="104"/>
      <c r="CK415" s="104"/>
      <c r="CL415" s="104"/>
      <c r="CM415" s="104"/>
      <c r="CN415" s="104"/>
      <c r="CO415" s="104"/>
      <c r="CP415" s="104"/>
      <c r="CQ415" s="104"/>
      <c r="CR415" s="104"/>
      <c r="CS415" s="104"/>
      <c r="CT415" s="104"/>
      <c r="CU415" s="104"/>
      <c r="CV415" s="104"/>
      <c r="CW415" s="104"/>
      <c r="CX415" s="104"/>
      <c r="CY415" s="104"/>
      <c r="CZ415" s="104"/>
      <c r="DA415" s="104"/>
      <c r="DB415" s="104"/>
      <c r="DC415" s="104"/>
      <c r="DD415" s="104"/>
      <c r="DE415" s="104"/>
      <c r="DF415" s="104"/>
      <c r="DG415" s="104"/>
      <c r="DH415" s="104"/>
      <c r="DI415" s="104"/>
      <c r="DJ415" s="104"/>
      <c r="DK415" s="104"/>
      <c r="DL415" s="104"/>
      <c r="DM415" s="104"/>
      <c r="DN415" s="104"/>
      <c r="DO415" s="104"/>
      <c r="DP415" s="104"/>
      <c r="DQ415" s="104"/>
      <c r="DR415" s="104"/>
      <c r="DS415" s="104"/>
      <c r="DT415" s="104"/>
      <c r="DU415" s="104"/>
      <c r="DV415" s="104"/>
      <c r="DW415" s="104"/>
      <c r="DX415" s="104"/>
      <c r="DY415" s="104"/>
      <c r="DZ415" s="104"/>
      <c r="EA415" s="104"/>
      <c r="EB415" s="104"/>
      <c r="EC415" s="104"/>
      <c r="ED415" s="104"/>
      <c r="EE415" s="104"/>
      <c r="EF415" s="104"/>
      <c r="EG415" s="104"/>
      <c r="EH415" s="104"/>
      <c r="EI415" s="104"/>
      <c r="EJ415" s="104"/>
      <c r="EK415" s="104"/>
      <c r="EL415" s="104"/>
      <c r="EM415" s="104"/>
      <c r="EN415" s="104"/>
      <c r="EO415" s="104"/>
      <c r="EP415" s="104"/>
      <c r="EQ415" s="104"/>
      <c r="ER415" s="104"/>
      <c r="ES415" s="104"/>
      <c r="ET415" s="104"/>
      <c r="EU415" s="104"/>
      <c r="EV415" s="104"/>
      <c r="EW415" s="104"/>
      <c r="EX415" s="104"/>
      <c r="EY415" s="104"/>
      <c r="EZ415" s="104"/>
      <c r="FA415" s="104"/>
      <c r="FB415" s="104"/>
      <c r="FC415" s="104"/>
      <c r="FD415" s="104"/>
      <c r="FE415" s="104"/>
      <c r="FF415" s="104"/>
      <c r="FG415" s="104"/>
      <c r="FH415" s="104"/>
      <c r="FI415" s="104"/>
      <c r="FJ415" s="104"/>
      <c r="FK415" s="104"/>
      <c r="FL415" s="104"/>
      <c r="FM415" s="104"/>
      <c r="FN415" s="104"/>
      <c r="FO415" s="104"/>
      <c r="FP415" s="104"/>
      <c r="FQ415" s="104"/>
      <c r="FR415" s="104"/>
      <c r="FS415" s="104"/>
      <c r="FT415" s="104"/>
      <c r="FU415" s="104"/>
      <c r="FV415" s="104"/>
      <c r="FW415" s="104"/>
      <c r="FX415" s="104"/>
      <c r="FY415" s="104"/>
      <c r="FZ415" s="104"/>
      <c r="GA415" s="104"/>
      <c r="GB415" s="104"/>
      <c r="GC415" s="104"/>
      <c r="GD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  <c r="HA415" s="104"/>
      <c r="HB415" s="104"/>
      <c r="HC415" s="104"/>
      <c r="HD415" s="104"/>
      <c r="HE415" s="104"/>
      <c r="HF415" s="104"/>
      <c r="HG415" s="104"/>
      <c r="HH415" s="104"/>
      <c r="HI415" s="104"/>
      <c r="HJ415" s="104"/>
      <c r="HK415" s="104"/>
      <c r="HL415" s="104"/>
      <c r="HM415" s="104"/>
      <c r="HN415" s="104"/>
      <c r="HO415" s="104"/>
      <c r="HP415" s="104"/>
      <c r="HQ415" s="104"/>
      <c r="HR415" s="104"/>
      <c r="HS415" s="104"/>
      <c r="HT415" s="104"/>
      <c r="HU415" s="104"/>
      <c r="HV415" s="104"/>
      <c r="HW415" s="104"/>
      <c r="HX415" s="104"/>
      <c r="HY415" s="104"/>
      <c r="HZ415" s="104"/>
      <c r="IA415" s="104"/>
      <c r="IB415" s="104"/>
      <c r="IC415" s="104"/>
      <c r="ID415" s="104"/>
      <c r="IE415" s="104"/>
      <c r="IF415" s="104"/>
      <c r="IG415" s="104"/>
      <c r="IH415" s="104"/>
      <c r="II415" s="104"/>
      <c r="IJ415" s="104"/>
      <c r="IK415" s="104"/>
      <c r="IL415" s="104"/>
      <c r="IM415" s="104"/>
      <c r="IN415" s="104"/>
      <c r="IO415" s="104"/>
      <c r="IP415" s="104"/>
      <c r="IQ415" s="104"/>
      <c r="IR415" s="104"/>
      <c r="IS415" s="104"/>
      <c r="IT415" s="104"/>
      <c r="IU415" s="104"/>
      <c r="IV415" s="104"/>
      <c r="IW415" s="104"/>
      <c r="IX415" s="104"/>
      <c r="IY415" s="104"/>
      <c r="IZ415" s="104"/>
      <c r="JA415" s="104"/>
    </row>
    <row r="416" spans="61:261" x14ac:dyDescent="0.2">
      <c r="BI416" s="104"/>
      <c r="BJ416" s="104"/>
      <c r="BK416" s="104"/>
      <c r="BL416" s="104"/>
      <c r="BM416" s="104"/>
      <c r="BN416" s="104"/>
      <c r="BO416" s="104"/>
      <c r="BP416" s="104"/>
      <c r="BQ416" s="104"/>
      <c r="BR416" s="104"/>
      <c r="BS416" s="104"/>
      <c r="BT416" s="104"/>
      <c r="BU416" s="104"/>
      <c r="BV416" s="104"/>
      <c r="BW416" s="104"/>
      <c r="BX416" s="104"/>
      <c r="BY416" s="104"/>
      <c r="BZ416" s="104"/>
      <c r="CA416" s="104"/>
      <c r="CB416" s="104"/>
      <c r="CC416" s="104"/>
      <c r="CD416" s="104"/>
      <c r="CE416" s="104"/>
      <c r="CF416" s="104"/>
      <c r="CG416" s="104"/>
      <c r="CH416" s="104"/>
      <c r="CI416" s="104"/>
      <c r="CJ416" s="104"/>
      <c r="CK416" s="104"/>
      <c r="CL416" s="104"/>
      <c r="CM416" s="104"/>
      <c r="CN416" s="104"/>
      <c r="CO416" s="104"/>
      <c r="CP416" s="104"/>
      <c r="CQ416" s="104"/>
      <c r="CR416" s="104"/>
      <c r="CS416" s="104"/>
      <c r="CT416" s="104"/>
      <c r="CU416" s="104"/>
      <c r="CV416" s="104"/>
      <c r="CW416" s="104"/>
      <c r="CX416" s="104"/>
      <c r="CY416" s="104"/>
      <c r="CZ416" s="104"/>
      <c r="DA416" s="104"/>
      <c r="DB416" s="104"/>
      <c r="DC416" s="104"/>
      <c r="DD416" s="104"/>
      <c r="DE416" s="104"/>
      <c r="DF416" s="104"/>
      <c r="DG416" s="104"/>
      <c r="DH416" s="104"/>
      <c r="DI416" s="104"/>
      <c r="DJ416" s="104"/>
      <c r="DK416" s="104"/>
      <c r="DL416" s="104"/>
      <c r="DM416" s="104"/>
      <c r="DN416" s="104"/>
      <c r="DO416" s="104"/>
      <c r="DP416" s="104"/>
      <c r="DQ416" s="104"/>
      <c r="DR416" s="104"/>
      <c r="DS416" s="104"/>
      <c r="DT416" s="104"/>
      <c r="DU416" s="104"/>
      <c r="DV416" s="104"/>
      <c r="DW416" s="104"/>
      <c r="DX416" s="104"/>
      <c r="DY416" s="104"/>
      <c r="DZ416" s="104"/>
      <c r="EA416" s="104"/>
      <c r="EB416" s="104"/>
      <c r="EC416" s="104"/>
      <c r="ED416" s="104"/>
      <c r="EE416" s="104"/>
      <c r="EF416" s="104"/>
      <c r="EG416" s="104"/>
      <c r="EH416" s="104"/>
      <c r="EI416" s="104"/>
      <c r="EJ416" s="104"/>
      <c r="EK416" s="104"/>
      <c r="EL416" s="104"/>
      <c r="EM416" s="104"/>
      <c r="EN416" s="104"/>
      <c r="EO416" s="104"/>
      <c r="EP416" s="104"/>
      <c r="EQ416" s="104"/>
      <c r="ER416" s="104"/>
      <c r="ES416" s="104"/>
      <c r="ET416" s="104"/>
      <c r="EU416" s="104"/>
      <c r="EV416" s="104"/>
      <c r="EW416" s="104"/>
      <c r="EX416" s="104"/>
      <c r="EY416" s="104"/>
      <c r="EZ416" s="104"/>
      <c r="FA416" s="104"/>
      <c r="FB416" s="104"/>
      <c r="FC416" s="104"/>
      <c r="FD416" s="104"/>
      <c r="FE416" s="104"/>
      <c r="FF416" s="104"/>
      <c r="FG416" s="104"/>
      <c r="FH416" s="104"/>
      <c r="FI416" s="104"/>
      <c r="FJ416" s="104"/>
      <c r="FK416" s="104"/>
      <c r="FL416" s="104"/>
      <c r="FM416" s="104"/>
      <c r="FN416" s="104"/>
      <c r="FO416" s="104"/>
      <c r="FP416" s="104"/>
      <c r="FQ416" s="104"/>
      <c r="FR416" s="104"/>
      <c r="FS416" s="104"/>
      <c r="FT416" s="104"/>
      <c r="FU416" s="104"/>
      <c r="FV416" s="104"/>
      <c r="FW416" s="104"/>
      <c r="FX416" s="104"/>
      <c r="FY416" s="104"/>
      <c r="FZ416" s="104"/>
      <c r="GA416" s="104"/>
      <c r="GB416" s="104"/>
      <c r="GC416" s="104"/>
      <c r="GD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  <c r="HA416" s="104"/>
      <c r="HB416" s="104"/>
      <c r="HC416" s="104"/>
      <c r="HD416" s="104"/>
      <c r="HE416" s="104"/>
      <c r="HF416" s="104"/>
      <c r="HG416" s="104"/>
      <c r="HH416" s="104"/>
      <c r="HI416" s="104"/>
      <c r="HJ416" s="104"/>
      <c r="HK416" s="104"/>
      <c r="HL416" s="104"/>
      <c r="HM416" s="104"/>
      <c r="HN416" s="104"/>
      <c r="HO416" s="104"/>
      <c r="HP416" s="104"/>
      <c r="HQ416" s="104"/>
      <c r="HR416" s="104"/>
      <c r="HS416" s="104"/>
      <c r="HT416" s="104"/>
      <c r="HU416" s="104"/>
      <c r="HV416" s="104"/>
      <c r="HW416" s="104"/>
      <c r="HX416" s="104"/>
      <c r="HY416" s="104"/>
      <c r="HZ416" s="104"/>
      <c r="IA416" s="104"/>
      <c r="IB416" s="104"/>
      <c r="IC416" s="104"/>
      <c r="ID416" s="104"/>
      <c r="IE416" s="104"/>
      <c r="IF416" s="104"/>
      <c r="IG416" s="104"/>
      <c r="IH416" s="104"/>
      <c r="II416" s="104"/>
      <c r="IJ416" s="104"/>
      <c r="IK416" s="104"/>
      <c r="IL416" s="104"/>
      <c r="IM416" s="104"/>
      <c r="IN416" s="104"/>
      <c r="IO416" s="104"/>
      <c r="IP416" s="104"/>
      <c r="IQ416" s="104"/>
      <c r="IR416" s="104"/>
      <c r="IS416" s="104"/>
      <c r="IT416" s="104"/>
      <c r="IU416" s="104"/>
      <c r="IV416" s="104"/>
      <c r="IW416" s="104"/>
      <c r="IX416" s="104"/>
      <c r="IY416" s="104"/>
      <c r="IZ416" s="104"/>
      <c r="JA416" s="104"/>
    </row>
    <row r="417" spans="61:261" x14ac:dyDescent="0.2">
      <c r="BI417" s="104"/>
      <c r="BJ417" s="104"/>
      <c r="BK417" s="104"/>
      <c r="BL417" s="104"/>
      <c r="BM417" s="104"/>
      <c r="BN417" s="104"/>
      <c r="BO417" s="104"/>
      <c r="BP417" s="104"/>
      <c r="BQ417" s="104"/>
      <c r="BR417" s="104"/>
      <c r="BS417" s="104"/>
      <c r="BT417" s="104"/>
      <c r="BU417" s="104"/>
      <c r="BV417" s="104"/>
      <c r="BW417" s="104"/>
      <c r="BX417" s="104"/>
      <c r="BY417" s="104"/>
      <c r="BZ417" s="104"/>
      <c r="CA417" s="104"/>
      <c r="CB417" s="104"/>
      <c r="CC417" s="104"/>
      <c r="CD417" s="104"/>
      <c r="CE417" s="104"/>
      <c r="CF417" s="104"/>
      <c r="CG417" s="104"/>
      <c r="CH417" s="104"/>
      <c r="CI417" s="104"/>
      <c r="CJ417" s="104"/>
      <c r="CK417" s="104"/>
      <c r="CL417" s="104"/>
      <c r="CM417" s="104"/>
      <c r="CN417" s="104"/>
      <c r="CO417" s="104"/>
      <c r="CP417" s="104"/>
      <c r="CQ417" s="104"/>
      <c r="CR417" s="104"/>
      <c r="CS417" s="104"/>
      <c r="CT417" s="104"/>
      <c r="CU417" s="104"/>
      <c r="CV417" s="104"/>
      <c r="CW417" s="104"/>
      <c r="CX417" s="104"/>
      <c r="CY417" s="104"/>
      <c r="CZ417" s="104"/>
      <c r="DA417" s="104"/>
      <c r="DB417" s="104"/>
      <c r="DC417" s="104"/>
      <c r="DD417" s="104"/>
      <c r="DE417" s="104"/>
      <c r="DF417" s="104"/>
      <c r="DG417" s="104"/>
      <c r="DH417" s="104"/>
      <c r="DI417" s="104"/>
      <c r="DJ417" s="104"/>
      <c r="DK417" s="104"/>
      <c r="DL417" s="104"/>
      <c r="DM417" s="104"/>
      <c r="DN417" s="104"/>
      <c r="DO417" s="104"/>
      <c r="DP417" s="104"/>
      <c r="DQ417" s="104"/>
      <c r="DR417" s="104"/>
      <c r="DS417" s="104"/>
      <c r="DT417" s="104"/>
      <c r="DU417" s="104"/>
      <c r="DV417" s="104"/>
      <c r="DW417" s="104"/>
      <c r="DX417" s="104"/>
      <c r="DY417" s="104"/>
      <c r="DZ417" s="104"/>
      <c r="EA417" s="104"/>
      <c r="EB417" s="104"/>
      <c r="EC417" s="104"/>
      <c r="ED417" s="104"/>
      <c r="EE417" s="104"/>
      <c r="EF417" s="104"/>
      <c r="EG417" s="104"/>
      <c r="EH417" s="104"/>
      <c r="EI417" s="104"/>
      <c r="EJ417" s="104"/>
      <c r="EK417" s="104"/>
      <c r="EL417" s="104"/>
      <c r="EM417" s="104"/>
      <c r="EN417" s="104"/>
      <c r="EO417" s="104"/>
      <c r="EP417" s="104"/>
      <c r="EQ417" s="104"/>
      <c r="ER417" s="104"/>
      <c r="ES417" s="104"/>
      <c r="ET417" s="104"/>
      <c r="EU417" s="104"/>
      <c r="EV417" s="104"/>
      <c r="EW417" s="104"/>
      <c r="EX417" s="104"/>
      <c r="EY417" s="104"/>
      <c r="EZ417" s="104"/>
      <c r="FA417" s="104"/>
      <c r="FB417" s="104"/>
      <c r="FC417" s="104"/>
      <c r="FD417" s="104"/>
      <c r="FE417" s="104"/>
      <c r="FF417" s="104"/>
      <c r="FG417" s="104"/>
      <c r="FH417" s="104"/>
      <c r="FI417" s="104"/>
      <c r="FJ417" s="104"/>
      <c r="FK417" s="104"/>
      <c r="FL417" s="104"/>
      <c r="FM417" s="104"/>
      <c r="FN417" s="104"/>
      <c r="FO417" s="104"/>
      <c r="FP417" s="104"/>
      <c r="FQ417" s="104"/>
      <c r="FR417" s="104"/>
      <c r="FS417" s="104"/>
      <c r="FT417" s="104"/>
      <c r="FU417" s="104"/>
      <c r="FV417" s="104"/>
      <c r="FW417" s="104"/>
      <c r="FX417" s="104"/>
      <c r="FY417" s="104"/>
      <c r="FZ417" s="104"/>
      <c r="GA417" s="104"/>
      <c r="GB417" s="104"/>
      <c r="GC417" s="104"/>
      <c r="GD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  <c r="HA417" s="104"/>
      <c r="HB417" s="104"/>
      <c r="HC417" s="104"/>
      <c r="HD417" s="104"/>
      <c r="HE417" s="104"/>
      <c r="HF417" s="104"/>
      <c r="HG417" s="104"/>
      <c r="HH417" s="104"/>
      <c r="HI417" s="104"/>
      <c r="HJ417" s="104"/>
      <c r="HK417" s="104"/>
      <c r="HL417" s="104"/>
      <c r="HM417" s="104"/>
      <c r="HN417" s="104"/>
      <c r="HO417" s="104"/>
      <c r="HP417" s="104"/>
      <c r="HQ417" s="104"/>
      <c r="HR417" s="104"/>
      <c r="HS417" s="104"/>
      <c r="HT417" s="104"/>
      <c r="HU417" s="104"/>
      <c r="HV417" s="104"/>
      <c r="HW417" s="104"/>
      <c r="HX417" s="104"/>
      <c r="HY417" s="104"/>
      <c r="HZ417" s="104"/>
      <c r="IA417" s="104"/>
      <c r="IB417" s="104"/>
      <c r="IC417" s="104"/>
      <c r="ID417" s="104"/>
      <c r="IE417" s="104"/>
      <c r="IF417" s="104"/>
      <c r="IG417" s="104"/>
      <c r="IH417" s="104"/>
      <c r="II417" s="104"/>
      <c r="IJ417" s="104"/>
      <c r="IK417" s="104"/>
      <c r="IL417" s="104"/>
      <c r="IM417" s="104"/>
      <c r="IN417" s="104"/>
      <c r="IO417" s="104"/>
      <c r="IP417" s="104"/>
      <c r="IQ417" s="104"/>
      <c r="IR417" s="104"/>
      <c r="IS417" s="104"/>
      <c r="IT417" s="104"/>
      <c r="IU417" s="104"/>
      <c r="IV417" s="104"/>
      <c r="IW417" s="104"/>
      <c r="IX417" s="104"/>
      <c r="IY417" s="104"/>
      <c r="IZ417" s="104"/>
      <c r="JA417" s="104"/>
    </row>
    <row r="418" spans="61:261" x14ac:dyDescent="0.2">
      <c r="BI418" s="104"/>
      <c r="BJ418" s="104"/>
      <c r="BK418" s="104"/>
      <c r="BL418" s="104"/>
      <c r="BM418" s="104"/>
      <c r="BN418" s="104"/>
      <c r="BO418" s="104"/>
      <c r="BP418" s="104"/>
      <c r="BQ418" s="104"/>
      <c r="BR418" s="104"/>
      <c r="BS418" s="104"/>
      <c r="BT418" s="104"/>
      <c r="BU418" s="104"/>
      <c r="BV418" s="104"/>
      <c r="BW418" s="104"/>
      <c r="BX418" s="104"/>
      <c r="BY418" s="104"/>
      <c r="BZ418" s="104"/>
      <c r="CA418" s="104"/>
      <c r="CB418" s="104"/>
      <c r="CC418" s="104"/>
      <c r="CD418" s="104"/>
      <c r="CE418" s="104"/>
      <c r="CF418" s="104"/>
      <c r="CG418" s="104"/>
      <c r="CH418" s="104"/>
      <c r="CI418" s="104"/>
      <c r="CJ418" s="104"/>
      <c r="CK418" s="104"/>
      <c r="CL418" s="104"/>
      <c r="CM418" s="104"/>
      <c r="CN418" s="104"/>
      <c r="CO418" s="104"/>
      <c r="CP418" s="104"/>
      <c r="CQ418" s="104"/>
      <c r="CR418" s="104"/>
      <c r="CS418" s="104"/>
      <c r="CT418" s="104"/>
      <c r="CU418" s="104"/>
      <c r="CV418" s="104"/>
      <c r="CW418" s="104"/>
      <c r="CX418" s="104"/>
      <c r="CY418" s="104"/>
      <c r="CZ418" s="104"/>
      <c r="DA418" s="104"/>
      <c r="DB418" s="104"/>
      <c r="DC418" s="104"/>
      <c r="DD418" s="104"/>
      <c r="DE418" s="104"/>
      <c r="DF418" s="104"/>
      <c r="DG418" s="104"/>
      <c r="DH418" s="104"/>
      <c r="DI418" s="104"/>
      <c r="DJ418" s="104"/>
      <c r="DK418" s="104"/>
      <c r="DL418" s="104"/>
      <c r="DM418" s="104"/>
      <c r="DN418" s="104"/>
      <c r="DO418" s="104"/>
      <c r="DP418" s="104"/>
      <c r="DQ418" s="104"/>
      <c r="DR418" s="104"/>
      <c r="DS418" s="104"/>
      <c r="DT418" s="104"/>
      <c r="DU418" s="104"/>
      <c r="DV418" s="104"/>
      <c r="DW418" s="104"/>
      <c r="DX418" s="104"/>
      <c r="DY418" s="104"/>
      <c r="DZ418" s="104"/>
      <c r="EA418" s="104"/>
      <c r="EB418" s="104"/>
      <c r="EC418" s="104"/>
      <c r="ED418" s="104"/>
      <c r="EE418" s="104"/>
      <c r="EF418" s="104"/>
      <c r="EG418" s="104"/>
      <c r="EH418" s="104"/>
      <c r="EI418" s="104"/>
      <c r="EJ418" s="104"/>
      <c r="EK418" s="104"/>
      <c r="EL418" s="104"/>
      <c r="EM418" s="104"/>
      <c r="EN418" s="104"/>
      <c r="EO418" s="104"/>
      <c r="EP418" s="104"/>
      <c r="EQ418" s="104"/>
      <c r="ER418" s="104"/>
      <c r="ES418" s="104"/>
      <c r="ET418" s="104"/>
      <c r="EU418" s="104"/>
      <c r="EV418" s="104"/>
      <c r="EW418" s="104"/>
      <c r="EX418" s="104"/>
      <c r="EY418" s="104"/>
      <c r="EZ418" s="104"/>
      <c r="FA418" s="104"/>
      <c r="FB418" s="104"/>
      <c r="FC418" s="104"/>
      <c r="FD418" s="104"/>
      <c r="FE418" s="104"/>
      <c r="FF418" s="104"/>
      <c r="FG418" s="104"/>
      <c r="FH418" s="104"/>
      <c r="FI418" s="104"/>
      <c r="FJ418" s="104"/>
      <c r="FK418" s="104"/>
      <c r="FL418" s="104"/>
      <c r="FM418" s="104"/>
      <c r="FN418" s="104"/>
      <c r="FO418" s="104"/>
      <c r="FP418" s="104"/>
      <c r="FQ418" s="104"/>
      <c r="FR418" s="104"/>
      <c r="FS418" s="104"/>
      <c r="FT418" s="104"/>
      <c r="FU418" s="104"/>
      <c r="FV418" s="104"/>
      <c r="FW418" s="104"/>
      <c r="FX418" s="104"/>
      <c r="FY418" s="104"/>
      <c r="FZ418" s="104"/>
      <c r="GA418" s="104"/>
      <c r="GB418" s="104"/>
      <c r="GC418" s="104"/>
      <c r="GD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  <c r="HA418" s="104"/>
      <c r="HB418" s="104"/>
      <c r="HC418" s="104"/>
      <c r="HD418" s="104"/>
      <c r="HE418" s="104"/>
      <c r="HF418" s="104"/>
      <c r="HG418" s="104"/>
      <c r="HH418" s="104"/>
      <c r="HI418" s="104"/>
      <c r="HJ418" s="104"/>
      <c r="HK418" s="104"/>
      <c r="HL418" s="104"/>
      <c r="HM418" s="104"/>
      <c r="HN418" s="104"/>
      <c r="HO418" s="104"/>
      <c r="HP418" s="104"/>
      <c r="HQ418" s="104"/>
      <c r="HR418" s="104"/>
      <c r="HS418" s="104"/>
      <c r="HT418" s="104"/>
      <c r="HU418" s="104"/>
      <c r="HV418" s="104"/>
      <c r="HW418" s="104"/>
      <c r="HX418" s="104"/>
      <c r="HY418" s="104"/>
      <c r="HZ418" s="104"/>
      <c r="IA418" s="104"/>
      <c r="IB418" s="104"/>
      <c r="IC418" s="104"/>
      <c r="ID418" s="104"/>
      <c r="IE418" s="104"/>
      <c r="IF418" s="104"/>
      <c r="IG418" s="104"/>
      <c r="IH418" s="104"/>
      <c r="II418" s="104"/>
      <c r="IJ418" s="104"/>
      <c r="IK418" s="104"/>
      <c r="IL418" s="104"/>
      <c r="IM418" s="104"/>
      <c r="IN418" s="104"/>
      <c r="IO418" s="104"/>
      <c r="IP418" s="104"/>
      <c r="IQ418" s="104"/>
      <c r="IR418" s="104"/>
      <c r="IS418" s="104"/>
      <c r="IT418" s="104"/>
      <c r="IU418" s="104"/>
      <c r="IV418" s="104"/>
      <c r="IW418" s="104"/>
      <c r="IX418" s="104"/>
      <c r="IY418" s="104"/>
      <c r="IZ418" s="104"/>
      <c r="JA418" s="104"/>
    </row>
    <row r="419" spans="61:261" x14ac:dyDescent="0.2">
      <c r="BI419" s="104"/>
      <c r="BJ419" s="104"/>
      <c r="BK419" s="104"/>
      <c r="BL419" s="104"/>
      <c r="BM419" s="104"/>
      <c r="BN419" s="104"/>
      <c r="BO419" s="104"/>
      <c r="BP419" s="104"/>
      <c r="BQ419" s="104"/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4"/>
      <c r="CB419" s="104"/>
      <c r="CC419" s="104"/>
      <c r="CD419" s="104"/>
      <c r="CE419" s="104"/>
      <c r="CF419" s="104"/>
      <c r="CG419" s="104"/>
      <c r="CH419" s="104"/>
      <c r="CI419" s="104"/>
      <c r="CJ419" s="104"/>
      <c r="CK419" s="104"/>
      <c r="CL419" s="104"/>
      <c r="CM419" s="104"/>
      <c r="CN419" s="104"/>
      <c r="CO419" s="104"/>
      <c r="CP419" s="104"/>
      <c r="CQ419" s="104"/>
      <c r="CR419" s="104"/>
      <c r="CS419" s="104"/>
      <c r="CT419" s="104"/>
      <c r="CU419" s="104"/>
      <c r="CV419" s="104"/>
      <c r="CW419" s="104"/>
      <c r="CX419" s="104"/>
      <c r="CY419" s="104"/>
      <c r="CZ419" s="104"/>
      <c r="DA419" s="104"/>
      <c r="DB419" s="104"/>
      <c r="DC419" s="104"/>
      <c r="DD419" s="104"/>
      <c r="DE419" s="104"/>
      <c r="DF419" s="104"/>
      <c r="DG419" s="104"/>
      <c r="DH419" s="104"/>
      <c r="DI419" s="104"/>
      <c r="DJ419" s="104"/>
      <c r="DK419" s="104"/>
      <c r="DL419" s="104"/>
      <c r="DM419" s="104"/>
      <c r="DN419" s="104"/>
      <c r="DO419" s="104"/>
      <c r="DP419" s="104"/>
      <c r="DQ419" s="104"/>
      <c r="DR419" s="104"/>
      <c r="DS419" s="104"/>
      <c r="DT419" s="104"/>
      <c r="DU419" s="104"/>
      <c r="DV419" s="104"/>
      <c r="DW419" s="104"/>
      <c r="DX419" s="104"/>
      <c r="DY419" s="104"/>
      <c r="DZ419" s="104"/>
      <c r="EA419" s="104"/>
      <c r="EB419" s="104"/>
      <c r="EC419" s="104"/>
      <c r="ED419" s="104"/>
      <c r="EE419" s="104"/>
      <c r="EF419" s="104"/>
      <c r="EG419" s="104"/>
      <c r="EH419" s="104"/>
      <c r="EI419" s="104"/>
      <c r="EJ419" s="104"/>
      <c r="EK419" s="104"/>
      <c r="EL419" s="104"/>
      <c r="EM419" s="104"/>
      <c r="EN419" s="104"/>
      <c r="EO419" s="104"/>
      <c r="EP419" s="104"/>
      <c r="EQ419" s="104"/>
      <c r="ER419" s="104"/>
      <c r="ES419" s="104"/>
      <c r="ET419" s="104"/>
      <c r="EU419" s="104"/>
      <c r="EV419" s="104"/>
      <c r="EW419" s="104"/>
      <c r="EX419" s="104"/>
      <c r="EY419" s="104"/>
      <c r="EZ419" s="104"/>
      <c r="FA419" s="104"/>
      <c r="FB419" s="104"/>
      <c r="FC419" s="104"/>
      <c r="FD419" s="104"/>
      <c r="FE419" s="104"/>
      <c r="FF419" s="104"/>
      <c r="FG419" s="104"/>
      <c r="FH419" s="104"/>
      <c r="FI419" s="104"/>
      <c r="FJ419" s="104"/>
      <c r="FK419" s="104"/>
      <c r="FL419" s="104"/>
      <c r="FM419" s="104"/>
      <c r="FN419" s="104"/>
      <c r="FO419" s="104"/>
      <c r="FP419" s="104"/>
      <c r="FQ419" s="104"/>
      <c r="FR419" s="104"/>
      <c r="FS419" s="104"/>
      <c r="FT419" s="104"/>
      <c r="FU419" s="104"/>
      <c r="FV419" s="104"/>
      <c r="FW419" s="104"/>
      <c r="FX419" s="104"/>
      <c r="FY419" s="104"/>
      <c r="FZ419" s="104"/>
      <c r="GA419" s="104"/>
      <c r="GB419" s="104"/>
      <c r="GC419" s="104"/>
      <c r="GD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  <c r="HA419" s="104"/>
      <c r="HB419" s="104"/>
      <c r="HC419" s="104"/>
      <c r="HD419" s="104"/>
      <c r="HE419" s="104"/>
      <c r="HF419" s="104"/>
      <c r="HG419" s="104"/>
      <c r="HH419" s="104"/>
      <c r="HI419" s="104"/>
      <c r="HJ419" s="104"/>
      <c r="HK419" s="104"/>
      <c r="HL419" s="104"/>
      <c r="HM419" s="104"/>
      <c r="HN419" s="104"/>
      <c r="HO419" s="104"/>
      <c r="HP419" s="104"/>
      <c r="HQ419" s="104"/>
      <c r="HR419" s="104"/>
      <c r="HS419" s="104"/>
      <c r="HT419" s="104"/>
      <c r="HU419" s="104"/>
      <c r="HV419" s="104"/>
      <c r="HW419" s="104"/>
      <c r="HX419" s="104"/>
      <c r="HY419" s="104"/>
      <c r="HZ419" s="104"/>
      <c r="IA419" s="104"/>
      <c r="IB419" s="104"/>
      <c r="IC419" s="104"/>
      <c r="ID419" s="104"/>
      <c r="IE419" s="104"/>
      <c r="IF419" s="104"/>
      <c r="IG419" s="104"/>
      <c r="IH419" s="104"/>
      <c r="II419" s="104"/>
      <c r="IJ419" s="104"/>
      <c r="IK419" s="104"/>
      <c r="IL419" s="104"/>
      <c r="IM419" s="104"/>
      <c r="IN419" s="104"/>
      <c r="IO419" s="104"/>
      <c r="IP419" s="104"/>
      <c r="IQ419" s="104"/>
      <c r="IR419" s="104"/>
      <c r="IS419" s="104"/>
      <c r="IT419" s="104"/>
      <c r="IU419" s="104"/>
      <c r="IV419" s="104"/>
      <c r="IW419" s="104"/>
      <c r="IX419" s="104"/>
      <c r="IY419" s="104"/>
      <c r="IZ419" s="104"/>
      <c r="JA419" s="104"/>
    </row>
    <row r="420" spans="61:261" x14ac:dyDescent="0.2">
      <c r="BI420" s="104"/>
      <c r="BJ420" s="104"/>
      <c r="BK420" s="104"/>
      <c r="BL420" s="104"/>
      <c r="BM420" s="104"/>
      <c r="BN420" s="104"/>
      <c r="BO420" s="104"/>
      <c r="BP420" s="104"/>
      <c r="BQ420" s="104"/>
      <c r="BR420" s="104"/>
      <c r="BS420" s="104"/>
      <c r="BT420" s="104"/>
      <c r="BU420" s="104"/>
      <c r="BV420" s="104"/>
      <c r="BW420" s="104"/>
      <c r="BX420" s="104"/>
      <c r="BY420" s="104"/>
      <c r="BZ420" s="104"/>
      <c r="CA420" s="104"/>
      <c r="CB420" s="104"/>
      <c r="CC420" s="104"/>
      <c r="CD420" s="104"/>
      <c r="CE420" s="104"/>
      <c r="CF420" s="104"/>
      <c r="CG420" s="104"/>
      <c r="CH420" s="104"/>
      <c r="CI420" s="104"/>
      <c r="CJ420" s="104"/>
      <c r="CK420" s="104"/>
      <c r="CL420" s="104"/>
      <c r="CM420" s="104"/>
      <c r="CN420" s="104"/>
      <c r="CO420" s="104"/>
      <c r="CP420" s="104"/>
      <c r="CQ420" s="104"/>
      <c r="CR420" s="104"/>
      <c r="CS420" s="104"/>
      <c r="CT420" s="104"/>
      <c r="CU420" s="104"/>
      <c r="CV420" s="104"/>
      <c r="CW420" s="104"/>
      <c r="CX420" s="104"/>
      <c r="CY420" s="104"/>
      <c r="CZ420" s="104"/>
      <c r="DA420" s="104"/>
      <c r="DB420" s="104"/>
      <c r="DC420" s="104"/>
      <c r="DD420" s="104"/>
      <c r="DE420" s="104"/>
      <c r="DF420" s="104"/>
      <c r="DG420" s="104"/>
      <c r="DH420" s="104"/>
      <c r="DI420" s="104"/>
      <c r="DJ420" s="104"/>
      <c r="DK420" s="104"/>
      <c r="DL420" s="104"/>
      <c r="DM420" s="104"/>
      <c r="DN420" s="104"/>
      <c r="DO420" s="104"/>
      <c r="DP420" s="104"/>
      <c r="DQ420" s="104"/>
      <c r="DR420" s="104"/>
      <c r="DS420" s="104"/>
      <c r="DT420" s="104"/>
      <c r="DU420" s="104"/>
      <c r="DV420" s="104"/>
      <c r="DW420" s="104"/>
      <c r="DX420" s="104"/>
      <c r="DY420" s="104"/>
      <c r="DZ420" s="104"/>
      <c r="EA420" s="104"/>
      <c r="EB420" s="104"/>
      <c r="EC420" s="104"/>
      <c r="ED420" s="104"/>
      <c r="EE420" s="104"/>
      <c r="EF420" s="104"/>
      <c r="EG420" s="104"/>
      <c r="EH420" s="104"/>
      <c r="EI420" s="104"/>
      <c r="EJ420" s="104"/>
      <c r="EK420" s="104"/>
      <c r="EL420" s="104"/>
      <c r="EM420" s="104"/>
      <c r="EN420" s="104"/>
      <c r="EO420" s="104"/>
      <c r="EP420" s="104"/>
      <c r="EQ420" s="104"/>
      <c r="ER420" s="104"/>
      <c r="ES420" s="104"/>
      <c r="ET420" s="104"/>
      <c r="EU420" s="104"/>
      <c r="EV420" s="104"/>
      <c r="EW420" s="104"/>
      <c r="EX420" s="104"/>
      <c r="EY420" s="104"/>
      <c r="EZ420" s="104"/>
      <c r="FA420" s="104"/>
      <c r="FB420" s="104"/>
      <c r="FC420" s="104"/>
      <c r="FD420" s="104"/>
      <c r="FE420" s="104"/>
      <c r="FF420" s="104"/>
      <c r="FG420" s="104"/>
      <c r="FH420" s="104"/>
      <c r="FI420" s="104"/>
      <c r="FJ420" s="104"/>
      <c r="FK420" s="104"/>
      <c r="FL420" s="104"/>
      <c r="FM420" s="104"/>
      <c r="FN420" s="104"/>
      <c r="FO420" s="104"/>
      <c r="FP420" s="104"/>
      <c r="FQ420" s="104"/>
      <c r="FR420" s="104"/>
      <c r="FS420" s="104"/>
      <c r="FT420" s="104"/>
      <c r="FU420" s="104"/>
      <c r="FV420" s="104"/>
      <c r="FW420" s="104"/>
      <c r="FX420" s="104"/>
      <c r="FY420" s="104"/>
      <c r="FZ420" s="104"/>
      <c r="GA420" s="104"/>
      <c r="GB420" s="104"/>
      <c r="GC420" s="104"/>
      <c r="GD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  <c r="HA420" s="104"/>
      <c r="HB420" s="104"/>
      <c r="HC420" s="104"/>
      <c r="HD420" s="104"/>
      <c r="HE420" s="104"/>
      <c r="HF420" s="104"/>
      <c r="HG420" s="104"/>
      <c r="HH420" s="104"/>
      <c r="HI420" s="104"/>
      <c r="HJ420" s="104"/>
      <c r="HK420" s="104"/>
      <c r="HL420" s="104"/>
      <c r="HM420" s="104"/>
      <c r="HN420" s="104"/>
      <c r="HO420" s="104"/>
      <c r="HP420" s="104"/>
      <c r="HQ420" s="104"/>
      <c r="HR420" s="104"/>
      <c r="HS420" s="104"/>
      <c r="HT420" s="104"/>
      <c r="HU420" s="104"/>
      <c r="HV420" s="104"/>
      <c r="HW420" s="104"/>
      <c r="HX420" s="104"/>
      <c r="HY420" s="104"/>
      <c r="HZ420" s="104"/>
      <c r="IA420" s="104"/>
      <c r="IB420" s="104"/>
      <c r="IC420" s="104"/>
      <c r="ID420" s="104"/>
      <c r="IE420" s="104"/>
      <c r="IF420" s="104"/>
      <c r="IG420" s="104"/>
      <c r="IH420" s="104"/>
      <c r="II420" s="104"/>
      <c r="IJ420" s="104"/>
      <c r="IK420" s="104"/>
      <c r="IL420" s="104"/>
      <c r="IM420" s="104"/>
      <c r="IN420" s="104"/>
      <c r="IO420" s="104"/>
      <c r="IP420" s="104"/>
      <c r="IQ420" s="104"/>
      <c r="IR420" s="104"/>
      <c r="IS420" s="104"/>
      <c r="IT420" s="104"/>
      <c r="IU420" s="104"/>
      <c r="IV420" s="104"/>
      <c r="IW420" s="104"/>
      <c r="IX420" s="104"/>
      <c r="IY420" s="104"/>
      <c r="IZ420" s="104"/>
      <c r="JA420" s="104"/>
    </row>
    <row r="421" spans="61:261" x14ac:dyDescent="0.2">
      <c r="BI421" s="104"/>
      <c r="BJ421" s="104"/>
      <c r="BK421" s="104"/>
      <c r="BL421" s="104"/>
      <c r="BM421" s="104"/>
      <c r="BN421" s="104"/>
      <c r="BO421" s="104"/>
      <c r="BP421" s="104"/>
      <c r="BQ421" s="104"/>
      <c r="BR421" s="104"/>
      <c r="BS421" s="104"/>
      <c r="BT421" s="104"/>
      <c r="BU421" s="104"/>
      <c r="BV421" s="104"/>
      <c r="BW421" s="104"/>
      <c r="BX421" s="104"/>
      <c r="BY421" s="104"/>
      <c r="BZ421" s="104"/>
      <c r="CA421" s="104"/>
      <c r="CB421" s="104"/>
      <c r="CC421" s="104"/>
      <c r="CD421" s="104"/>
      <c r="CE421" s="104"/>
      <c r="CF421" s="104"/>
      <c r="CG421" s="104"/>
      <c r="CH421" s="104"/>
      <c r="CI421" s="104"/>
      <c r="CJ421" s="104"/>
      <c r="CK421" s="104"/>
      <c r="CL421" s="104"/>
      <c r="CM421" s="104"/>
      <c r="CN421" s="104"/>
      <c r="CO421" s="104"/>
      <c r="CP421" s="104"/>
      <c r="CQ421" s="104"/>
      <c r="CR421" s="104"/>
      <c r="CS421" s="104"/>
      <c r="CT421" s="104"/>
      <c r="CU421" s="104"/>
      <c r="CV421" s="104"/>
      <c r="CW421" s="104"/>
      <c r="CX421" s="104"/>
      <c r="CY421" s="104"/>
      <c r="CZ421" s="104"/>
      <c r="DA421" s="104"/>
      <c r="DB421" s="104"/>
      <c r="DC421" s="104"/>
      <c r="DD421" s="104"/>
      <c r="DE421" s="104"/>
      <c r="DF421" s="104"/>
      <c r="DG421" s="104"/>
      <c r="DH421" s="104"/>
      <c r="DI421" s="104"/>
      <c r="DJ421" s="104"/>
      <c r="DK421" s="104"/>
      <c r="DL421" s="104"/>
      <c r="DM421" s="104"/>
      <c r="DN421" s="104"/>
      <c r="DO421" s="104"/>
      <c r="DP421" s="104"/>
      <c r="DQ421" s="104"/>
      <c r="DR421" s="104"/>
      <c r="DS421" s="104"/>
      <c r="DT421" s="104"/>
      <c r="DU421" s="104"/>
      <c r="DV421" s="104"/>
      <c r="DW421" s="104"/>
      <c r="DX421" s="104"/>
      <c r="DY421" s="104"/>
      <c r="DZ421" s="104"/>
      <c r="EA421" s="104"/>
      <c r="EB421" s="104"/>
      <c r="EC421" s="104"/>
      <c r="ED421" s="104"/>
      <c r="EE421" s="104"/>
      <c r="EF421" s="104"/>
      <c r="EG421" s="104"/>
      <c r="EH421" s="104"/>
      <c r="EI421" s="104"/>
      <c r="EJ421" s="104"/>
      <c r="EK421" s="104"/>
      <c r="EL421" s="104"/>
      <c r="EM421" s="104"/>
      <c r="EN421" s="104"/>
      <c r="EO421" s="104"/>
      <c r="EP421" s="104"/>
      <c r="EQ421" s="104"/>
      <c r="ER421" s="104"/>
      <c r="ES421" s="104"/>
      <c r="ET421" s="104"/>
      <c r="EU421" s="104"/>
      <c r="EV421" s="104"/>
      <c r="EW421" s="104"/>
      <c r="EX421" s="104"/>
      <c r="EY421" s="104"/>
      <c r="EZ421" s="104"/>
      <c r="FA421" s="104"/>
      <c r="FB421" s="104"/>
      <c r="FC421" s="104"/>
      <c r="FD421" s="104"/>
      <c r="FE421" s="104"/>
      <c r="FF421" s="104"/>
      <c r="FG421" s="104"/>
      <c r="FH421" s="104"/>
      <c r="FI421" s="104"/>
      <c r="FJ421" s="104"/>
      <c r="FK421" s="104"/>
      <c r="FL421" s="104"/>
      <c r="FM421" s="104"/>
      <c r="FN421" s="104"/>
      <c r="FO421" s="104"/>
      <c r="FP421" s="104"/>
      <c r="FQ421" s="104"/>
      <c r="FR421" s="104"/>
      <c r="FS421" s="104"/>
      <c r="FT421" s="104"/>
      <c r="FU421" s="104"/>
      <c r="FV421" s="104"/>
      <c r="FW421" s="104"/>
      <c r="FX421" s="104"/>
      <c r="FY421" s="104"/>
      <c r="FZ421" s="104"/>
      <c r="GA421" s="104"/>
      <c r="GB421" s="104"/>
      <c r="GC421" s="104"/>
      <c r="GD421" s="104"/>
      <c r="GE421" s="104"/>
      <c r="GF421" s="104"/>
      <c r="GG421" s="104"/>
      <c r="GH421" s="104"/>
      <c r="GI421" s="104"/>
      <c r="GJ421" s="104"/>
      <c r="GK421" s="104"/>
      <c r="GL421" s="104"/>
      <c r="GM421" s="104"/>
      <c r="GN421" s="104"/>
      <c r="GO421" s="104"/>
      <c r="GP421" s="104"/>
      <c r="GQ421" s="104"/>
      <c r="GR421" s="104"/>
      <c r="GS421" s="104"/>
      <c r="GT421" s="104"/>
      <c r="GU421" s="104"/>
      <c r="GV421" s="104"/>
      <c r="GW421" s="104"/>
      <c r="GX421" s="104"/>
      <c r="GY421" s="104"/>
      <c r="GZ421" s="104"/>
      <c r="HA421" s="104"/>
      <c r="HB421" s="104"/>
      <c r="HC421" s="104"/>
      <c r="HD421" s="104"/>
      <c r="HE421" s="104"/>
      <c r="HF421" s="104"/>
      <c r="HG421" s="104"/>
      <c r="HH421" s="104"/>
      <c r="HI421" s="104"/>
      <c r="HJ421" s="104"/>
      <c r="HK421" s="104"/>
      <c r="HL421" s="104"/>
      <c r="HM421" s="104"/>
      <c r="HN421" s="104"/>
      <c r="HO421" s="104"/>
      <c r="HP421" s="104"/>
      <c r="HQ421" s="104"/>
      <c r="HR421" s="104"/>
      <c r="HS421" s="104"/>
      <c r="HT421" s="104"/>
      <c r="HU421" s="104"/>
      <c r="HV421" s="104"/>
      <c r="HW421" s="104"/>
      <c r="HX421" s="104"/>
      <c r="HY421" s="104"/>
      <c r="HZ421" s="104"/>
      <c r="IA421" s="104"/>
      <c r="IB421" s="104"/>
      <c r="IC421" s="104"/>
      <c r="ID421" s="104"/>
      <c r="IE421" s="104"/>
      <c r="IF421" s="104"/>
      <c r="IG421" s="104"/>
      <c r="IH421" s="104"/>
      <c r="II421" s="104"/>
      <c r="IJ421" s="104"/>
      <c r="IK421" s="104"/>
      <c r="IL421" s="104"/>
      <c r="IM421" s="104"/>
      <c r="IN421" s="104"/>
      <c r="IO421" s="104"/>
      <c r="IP421" s="104"/>
      <c r="IQ421" s="104"/>
      <c r="IR421" s="104"/>
      <c r="IS421" s="104"/>
      <c r="IT421" s="104"/>
      <c r="IU421" s="104"/>
      <c r="IV421" s="104"/>
      <c r="IW421" s="104"/>
      <c r="IX421" s="104"/>
      <c r="IY421" s="104"/>
      <c r="IZ421" s="104"/>
      <c r="JA421" s="104"/>
    </row>
    <row r="422" spans="61:261" x14ac:dyDescent="0.2">
      <c r="BI422" s="104"/>
      <c r="BJ422" s="104"/>
      <c r="BK422" s="104"/>
      <c r="BL422" s="104"/>
      <c r="BM422" s="104"/>
      <c r="BN422" s="104"/>
      <c r="BO422" s="104"/>
      <c r="BP422" s="104"/>
      <c r="BQ422" s="104"/>
      <c r="BR422" s="104"/>
      <c r="BS422" s="104"/>
      <c r="BT422" s="104"/>
      <c r="BU422" s="104"/>
      <c r="BV422" s="104"/>
      <c r="BW422" s="104"/>
      <c r="BX422" s="104"/>
      <c r="BY422" s="104"/>
      <c r="BZ422" s="104"/>
      <c r="CA422" s="104"/>
      <c r="CB422" s="104"/>
      <c r="CC422" s="104"/>
      <c r="CD422" s="104"/>
      <c r="CE422" s="104"/>
      <c r="CF422" s="104"/>
      <c r="CG422" s="104"/>
      <c r="CH422" s="104"/>
      <c r="CI422" s="104"/>
      <c r="CJ422" s="104"/>
      <c r="CK422" s="104"/>
      <c r="CL422" s="104"/>
      <c r="CM422" s="104"/>
      <c r="CN422" s="104"/>
      <c r="CO422" s="104"/>
      <c r="CP422" s="104"/>
      <c r="CQ422" s="104"/>
      <c r="CR422" s="104"/>
      <c r="CS422" s="104"/>
      <c r="CT422" s="104"/>
      <c r="CU422" s="104"/>
      <c r="CV422" s="104"/>
      <c r="CW422" s="104"/>
      <c r="CX422" s="104"/>
      <c r="CY422" s="104"/>
      <c r="CZ422" s="104"/>
      <c r="DA422" s="104"/>
      <c r="DB422" s="104"/>
      <c r="DC422" s="104"/>
      <c r="DD422" s="104"/>
      <c r="DE422" s="104"/>
      <c r="DF422" s="104"/>
      <c r="DG422" s="104"/>
      <c r="DH422" s="104"/>
      <c r="DI422" s="104"/>
      <c r="DJ422" s="104"/>
      <c r="DK422" s="104"/>
      <c r="DL422" s="104"/>
      <c r="DM422" s="104"/>
      <c r="DN422" s="104"/>
      <c r="DO422" s="104"/>
      <c r="DP422" s="104"/>
      <c r="DQ422" s="104"/>
      <c r="DR422" s="104"/>
      <c r="DS422" s="104"/>
      <c r="DT422" s="104"/>
      <c r="DU422" s="104"/>
      <c r="DV422" s="104"/>
      <c r="DW422" s="104"/>
      <c r="DX422" s="104"/>
      <c r="DY422" s="104"/>
      <c r="DZ422" s="104"/>
      <c r="EA422" s="104"/>
      <c r="EB422" s="104"/>
      <c r="EC422" s="104"/>
      <c r="ED422" s="104"/>
      <c r="EE422" s="104"/>
      <c r="EF422" s="104"/>
      <c r="EG422" s="104"/>
      <c r="EH422" s="104"/>
      <c r="EI422" s="104"/>
      <c r="EJ422" s="104"/>
      <c r="EK422" s="104"/>
      <c r="EL422" s="104"/>
      <c r="EM422" s="104"/>
      <c r="EN422" s="104"/>
      <c r="EO422" s="104"/>
      <c r="EP422" s="104"/>
      <c r="EQ422" s="104"/>
      <c r="ER422" s="104"/>
      <c r="ES422" s="104"/>
      <c r="ET422" s="104"/>
      <c r="EU422" s="104"/>
      <c r="EV422" s="104"/>
      <c r="EW422" s="104"/>
      <c r="EX422" s="104"/>
      <c r="EY422" s="104"/>
      <c r="EZ422" s="104"/>
      <c r="FA422" s="104"/>
      <c r="FB422" s="104"/>
      <c r="FC422" s="104"/>
      <c r="FD422" s="104"/>
      <c r="FE422" s="104"/>
      <c r="FF422" s="104"/>
      <c r="FG422" s="104"/>
      <c r="FH422" s="104"/>
      <c r="FI422" s="104"/>
      <c r="FJ422" s="104"/>
      <c r="FK422" s="104"/>
      <c r="FL422" s="104"/>
      <c r="FM422" s="104"/>
      <c r="FN422" s="104"/>
      <c r="FO422" s="104"/>
      <c r="FP422" s="104"/>
      <c r="FQ422" s="104"/>
      <c r="FR422" s="104"/>
      <c r="FS422" s="104"/>
      <c r="FT422" s="104"/>
      <c r="FU422" s="104"/>
      <c r="FV422" s="104"/>
      <c r="FW422" s="104"/>
      <c r="FX422" s="104"/>
      <c r="FY422" s="104"/>
      <c r="FZ422" s="104"/>
      <c r="GA422" s="104"/>
      <c r="GB422" s="104"/>
      <c r="GC422" s="104"/>
      <c r="GD422" s="104"/>
      <c r="GE422" s="104"/>
      <c r="GF422" s="104"/>
      <c r="GG422" s="104"/>
      <c r="GH422" s="104"/>
      <c r="GI422" s="104"/>
      <c r="GJ422" s="104"/>
      <c r="GK422" s="104"/>
      <c r="GL422" s="104"/>
      <c r="GM422" s="104"/>
      <c r="GN422" s="104"/>
      <c r="GO422" s="104"/>
      <c r="GP422" s="104"/>
      <c r="GQ422" s="104"/>
      <c r="GR422" s="104"/>
      <c r="GS422" s="104"/>
      <c r="GT422" s="104"/>
      <c r="GU422" s="104"/>
      <c r="GV422" s="104"/>
      <c r="GW422" s="104"/>
      <c r="GX422" s="104"/>
      <c r="GY422" s="104"/>
      <c r="GZ422" s="104"/>
      <c r="HA422" s="104"/>
      <c r="HB422" s="104"/>
      <c r="HC422" s="104"/>
      <c r="HD422" s="104"/>
      <c r="HE422" s="104"/>
      <c r="HF422" s="104"/>
      <c r="HG422" s="104"/>
      <c r="HH422" s="104"/>
      <c r="HI422" s="104"/>
      <c r="HJ422" s="104"/>
      <c r="HK422" s="104"/>
      <c r="HL422" s="104"/>
      <c r="HM422" s="104"/>
      <c r="HN422" s="104"/>
      <c r="HO422" s="104"/>
      <c r="HP422" s="104"/>
      <c r="HQ422" s="104"/>
      <c r="HR422" s="104"/>
      <c r="HS422" s="104"/>
      <c r="HT422" s="104"/>
      <c r="HU422" s="104"/>
      <c r="HV422" s="104"/>
      <c r="HW422" s="104"/>
      <c r="HX422" s="104"/>
      <c r="HY422" s="104"/>
      <c r="HZ422" s="104"/>
      <c r="IA422" s="104"/>
      <c r="IB422" s="104"/>
      <c r="IC422" s="104"/>
      <c r="ID422" s="104"/>
      <c r="IE422" s="104"/>
      <c r="IF422" s="104"/>
      <c r="IG422" s="104"/>
      <c r="IH422" s="104"/>
      <c r="II422" s="104"/>
      <c r="IJ422" s="104"/>
      <c r="IK422" s="104"/>
      <c r="IL422" s="104"/>
      <c r="IM422" s="104"/>
      <c r="IN422" s="104"/>
      <c r="IO422" s="104"/>
      <c r="IP422" s="104"/>
      <c r="IQ422" s="104"/>
      <c r="IR422" s="104"/>
      <c r="IS422" s="104"/>
      <c r="IT422" s="104"/>
      <c r="IU422" s="104"/>
      <c r="IV422" s="104"/>
      <c r="IW422" s="104"/>
      <c r="IX422" s="104"/>
      <c r="IY422" s="104"/>
      <c r="IZ422" s="104"/>
      <c r="JA422" s="104"/>
    </row>
    <row r="423" spans="61:261" x14ac:dyDescent="0.2">
      <c r="BI423" s="104"/>
      <c r="BJ423" s="104"/>
      <c r="BK423" s="104"/>
      <c r="BL423" s="104"/>
      <c r="BM423" s="104"/>
      <c r="BN423" s="104"/>
      <c r="BO423" s="104"/>
      <c r="BP423" s="104"/>
      <c r="BQ423" s="104"/>
      <c r="BR423" s="104"/>
      <c r="BS423" s="104"/>
      <c r="BT423" s="104"/>
      <c r="BU423" s="104"/>
      <c r="BV423" s="104"/>
      <c r="BW423" s="104"/>
      <c r="BX423" s="104"/>
      <c r="BY423" s="104"/>
      <c r="BZ423" s="104"/>
      <c r="CA423" s="104"/>
      <c r="CB423" s="104"/>
      <c r="CC423" s="104"/>
      <c r="CD423" s="104"/>
      <c r="CE423" s="104"/>
      <c r="CF423" s="104"/>
      <c r="CG423" s="104"/>
      <c r="CH423" s="104"/>
      <c r="CI423" s="104"/>
      <c r="CJ423" s="104"/>
      <c r="CK423" s="104"/>
      <c r="CL423" s="104"/>
      <c r="CM423" s="104"/>
      <c r="CN423" s="104"/>
      <c r="CO423" s="104"/>
      <c r="CP423" s="104"/>
      <c r="CQ423" s="104"/>
      <c r="CR423" s="104"/>
      <c r="CS423" s="104"/>
      <c r="CT423" s="104"/>
      <c r="CU423" s="104"/>
      <c r="CV423" s="104"/>
      <c r="CW423" s="104"/>
      <c r="CX423" s="104"/>
      <c r="CY423" s="104"/>
      <c r="CZ423" s="104"/>
      <c r="DA423" s="104"/>
      <c r="DB423" s="104"/>
      <c r="DC423" s="104"/>
      <c r="DD423" s="104"/>
      <c r="DE423" s="104"/>
      <c r="DF423" s="104"/>
      <c r="DG423" s="104"/>
      <c r="DH423" s="104"/>
      <c r="DI423" s="104"/>
      <c r="DJ423" s="104"/>
      <c r="DK423" s="104"/>
      <c r="DL423" s="104"/>
      <c r="DM423" s="104"/>
      <c r="DN423" s="104"/>
      <c r="DO423" s="104"/>
      <c r="DP423" s="104"/>
      <c r="DQ423" s="104"/>
      <c r="DR423" s="104"/>
      <c r="DS423" s="104"/>
      <c r="DT423" s="104"/>
      <c r="DU423" s="104"/>
      <c r="DV423" s="104"/>
      <c r="DW423" s="104"/>
      <c r="DX423" s="104"/>
      <c r="DY423" s="104"/>
      <c r="DZ423" s="104"/>
      <c r="EA423" s="104"/>
      <c r="EB423" s="104"/>
      <c r="EC423" s="104"/>
      <c r="ED423" s="104"/>
      <c r="EE423" s="104"/>
      <c r="EF423" s="104"/>
      <c r="EG423" s="104"/>
      <c r="EH423" s="104"/>
      <c r="EI423" s="104"/>
      <c r="EJ423" s="104"/>
      <c r="EK423" s="104"/>
      <c r="EL423" s="104"/>
      <c r="EM423" s="104"/>
      <c r="EN423" s="104"/>
      <c r="EO423" s="104"/>
      <c r="EP423" s="104"/>
      <c r="EQ423" s="104"/>
      <c r="ER423" s="104"/>
      <c r="ES423" s="104"/>
      <c r="ET423" s="104"/>
      <c r="EU423" s="104"/>
      <c r="EV423" s="104"/>
      <c r="EW423" s="104"/>
      <c r="EX423" s="104"/>
      <c r="EY423" s="104"/>
      <c r="EZ423" s="104"/>
      <c r="FA423" s="104"/>
      <c r="FB423" s="104"/>
      <c r="FC423" s="104"/>
      <c r="FD423" s="104"/>
      <c r="FE423" s="104"/>
      <c r="FF423" s="104"/>
      <c r="FG423" s="104"/>
      <c r="FH423" s="104"/>
      <c r="FI423" s="104"/>
      <c r="FJ423" s="104"/>
      <c r="FK423" s="104"/>
      <c r="FL423" s="104"/>
      <c r="FM423" s="104"/>
      <c r="FN423" s="104"/>
      <c r="FO423" s="104"/>
      <c r="FP423" s="104"/>
      <c r="FQ423" s="104"/>
      <c r="FR423" s="104"/>
      <c r="FS423" s="104"/>
      <c r="FT423" s="104"/>
      <c r="FU423" s="104"/>
      <c r="FV423" s="104"/>
      <c r="FW423" s="104"/>
      <c r="FX423" s="104"/>
      <c r="FY423" s="104"/>
      <c r="FZ423" s="104"/>
      <c r="GA423" s="104"/>
      <c r="GB423" s="104"/>
      <c r="GC423" s="104"/>
      <c r="GD423" s="104"/>
      <c r="GE423" s="104"/>
      <c r="GF423" s="104"/>
      <c r="GG423" s="104"/>
      <c r="GH423" s="104"/>
      <c r="GI423" s="104"/>
      <c r="GJ423" s="104"/>
      <c r="GK423" s="104"/>
      <c r="GL423" s="104"/>
      <c r="GM423" s="104"/>
      <c r="GN423" s="104"/>
      <c r="GO423" s="104"/>
      <c r="GP423" s="104"/>
      <c r="GQ423" s="104"/>
      <c r="GR423" s="104"/>
      <c r="GS423" s="104"/>
      <c r="GT423" s="104"/>
      <c r="GU423" s="104"/>
      <c r="GV423" s="104"/>
      <c r="GW423" s="104"/>
      <c r="GX423" s="104"/>
      <c r="GY423" s="104"/>
      <c r="GZ423" s="104"/>
      <c r="HA423" s="104"/>
      <c r="HB423" s="104"/>
      <c r="HC423" s="104"/>
      <c r="HD423" s="104"/>
      <c r="HE423" s="104"/>
      <c r="HF423" s="104"/>
      <c r="HG423" s="104"/>
      <c r="HH423" s="104"/>
      <c r="HI423" s="104"/>
      <c r="HJ423" s="104"/>
      <c r="HK423" s="104"/>
      <c r="HL423" s="104"/>
      <c r="HM423" s="104"/>
      <c r="HN423" s="104"/>
      <c r="HO423" s="104"/>
      <c r="HP423" s="104"/>
      <c r="HQ423" s="104"/>
      <c r="HR423" s="104"/>
      <c r="HS423" s="104"/>
      <c r="HT423" s="104"/>
      <c r="HU423" s="104"/>
      <c r="HV423" s="104"/>
      <c r="HW423" s="104"/>
      <c r="HX423" s="104"/>
      <c r="HY423" s="104"/>
      <c r="HZ423" s="104"/>
      <c r="IA423" s="104"/>
      <c r="IB423" s="104"/>
      <c r="IC423" s="104"/>
      <c r="ID423" s="104"/>
      <c r="IE423" s="104"/>
      <c r="IF423" s="104"/>
      <c r="IG423" s="104"/>
      <c r="IH423" s="104"/>
      <c r="II423" s="104"/>
      <c r="IJ423" s="104"/>
      <c r="IK423" s="104"/>
      <c r="IL423" s="104"/>
      <c r="IM423" s="104"/>
      <c r="IN423" s="104"/>
      <c r="IO423" s="104"/>
      <c r="IP423" s="104"/>
      <c r="IQ423" s="104"/>
      <c r="IR423" s="104"/>
      <c r="IS423" s="104"/>
      <c r="IT423" s="104"/>
      <c r="IU423" s="104"/>
      <c r="IV423" s="104"/>
      <c r="IW423" s="104"/>
      <c r="IX423" s="104"/>
      <c r="IY423" s="104"/>
      <c r="IZ423" s="104"/>
      <c r="JA423" s="104"/>
    </row>
    <row r="424" spans="61:261" x14ac:dyDescent="0.2">
      <c r="BI424" s="104"/>
      <c r="BJ424" s="104"/>
      <c r="BK424" s="104"/>
      <c r="BL424" s="104"/>
      <c r="BM424" s="104"/>
      <c r="BN424" s="104"/>
      <c r="BO424" s="104"/>
      <c r="BP424" s="104"/>
      <c r="BQ424" s="104"/>
      <c r="BR424" s="104"/>
      <c r="BS424" s="104"/>
      <c r="BT424" s="104"/>
      <c r="BU424" s="104"/>
      <c r="BV424" s="104"/>
      <c r="BW424" s="104"/>
      <c r="BX424" s="104"/>
      <c r="BY424" s="104"/>
      <c r="BZ424" s="104"/>
      <c r="CA424" s="104"/>
      <c r="CB424" s="104"/>
      <c r="CC424" s="104"/>
      <c r="CD424" s="104"/>
      <c r="CE424" s="104"/>
      <c r="CF424" s="104"/>
      <c r="CG424" s="104"/>
      <c r="CH424" s="104"/>
      <c r="CI424" s="104"/>
      <c r="CJ424" s="104"/>
      <c r="CK424" s="104"/>
      <c r="CL424" s="104"/>
      <c r="CM424" s="104"/>
      <c r="CN424" s="104"/>
      <c r="CO424" s="104"/>
      <c r="CP424" s="104"/>
      <c r="CQ424" s="104"/>
      <c r="CR424" s="104"/>
      <c r="CS424" s="104"/>
      <c r="CT424" s="104"/>
      <c r="CU424" s="104"/>
      <c r="CV424" s="104"/>
      <c r="CW424" s="104"/>
      <c r="CX424" s="104"/>
      <c r="CY424" s="104"/>
      <c r="CZ424" s="104"/>
      <c r="DA424" s="104"/>
      <c r="DB424" s="104"/>
      <c r="DC424" s="104"/>
      <c r="DD424" s="104"/>
      <c r="DE424" s="104"/>
      <c r="DF424" s="104"/>
      <c r="DG424" s="104"/>
      <c r="DH424" s="104"/>
      <c r="DI424" s="104"/>
      <c r="DJ424" s="104"/>
      <c r="DK424" s="104"/>
      <c r="DL424" s="104"/>
      <c r="DM424" s="104"/>
      <c r="DN424" s="104"/>
      <c r="DO424" s="104"/>
      <c r="DP424" s="104"/>
      <c r="DQ424" s="104"/>
      <c r="DR424" s="104"/>
      <c r="DS424" s="104"/>
      <c r="DT424" s="104"/>
      <c r="DU424" s="104"/>
      <c r="DV424" s="104"/>
      <c r="DW424" s="104"/>
      <c r="DX424" s="104"/>
      <c r="DY424" s="104"/>
      <c r="DZ424" s="104"/>
      <c r="EA424" s="104"/>
      <c r="EB424" s="104"/>
      <c r="EC424" s="104"/>
      <c r="ED424" s="104"/>
      <c r="EE424" s="104"/>
      <c r="EF424" s="104"/>
      <c r="EG424" s="104"/>
      <c r="EH424" s="104"/>
      <c r="EI424" s="104"/>
      <c r="EJ424" s="104"/>
      <c r="EK424" s="104"/>
      <c r="EL424" s="104"/>
      <c r="EM424" s="104"/>
      <c r="EN424" s="104"/>
      <c r="EO424" s="104"/>
      <c r="EP424" s="104"/>
      <c r="EQ424" s="104"/>
      <c r="ER424" s="104"/>
      <c r="ES424" s="104"/>
      <c r="ET424" s="104"/>
      <c r="EU424" s="104"/>
      <c r="EV424" s="104"/>
      <c r="EW424" s="104"/>
      <c r="EX424" s="104"/>
      <c r="EY424" s="104"/>
      <c r="EZ424" s="104"/>
      <c r="FA424" s="104"/>
      <c r="FB424" s="104"/>
      <c r="FC424" s="104"/>
      <c r="FD424" s="104"/>
      <c r="FE424" s="104"/>
      <c r="FF424" s="104"/>
      <c r="FG424" s="104"/>
      <c r="FH424" s="104"/>
      <c r="FI424" s="104"/>
      <c r="FJ424" s="104"/>
      <c r="FK424" s="104"/>
      <c r="FL424" s="104"/>
      <c r="FM424" s="104"/>
      <c r="FN424" s="104"/>
      <c r="FO424" s="104"/>
      <c r="FP424" s="104"/>
      <c r="FQ424" s="104"/>
      <c r="FR424" s="104"/>
      <c r="FS424" s="104"/>
      <c r="FT424" s="104"/>
      <c r="FU424" s="104"/>
      <c r="FV424" s="104"/>
      <c r="FW424" s="104"/>
      <c r="FX424" s="104"/>
      <c r="FY424" s="104"/>
      <c r="FZ424" s="104"/>
      <c r="GA424" s="104"/>
      <c r="GB424" s="104"/>
      <c r="GC424" s="104"/>
      <c r="GD424" s="104"/>
      <c r="GE424" s="104"/>
      <c r="GF424" s="104"/>
      <c r="GG424" s="104"/>
      <c r="GH424" s="104"/>
      <c r="GI424" s="104"/>
      <c r="GJ424" s="104"/>
      <c r="GK424" s="104"/>
      <c r="GL424" s="104"/>
      <c r="GM424" s="104"/>
      <c r="GN424" s="104"/>
      <c r="GO424" s="104"/>
      <c r="GP424" s="104"/>
      <c r="GQ424" s="104"/>
      <c r="GR424" s="104"/>
      <c r="GS424" s="104"/>
      <c r="GT424" s="104"/>
      <c r="GU424" s="104"/>
      <c r="GV424" s="104"/>
      <c r="GW424" s="104"/>
      <c r="GX424" s="104"/>
      <c r="GY424" s="104"/>
      <c r="GZ424" s="104"/>
      <c r="HA424" s="104"/>
      <c r="HB424" s="104"/>
      <c r="HC424" s="104"/>
      <c r="HD424" s="104"/>
      <c r="HE424" s="104"/>
      <c r="HF424" s="104"/>
      <c r="HG424" s="104"/>
      <c r="HH424" s="104"/>
      <c r="HI424" s="104"/>
      <c r="HJ424" s="104"/>
      <c r="HK424" s="104"/>
      <c r="HL424" s="104"/>
      <c r="HM424" s="104"/>
      <c r="HN424" s="104"/>
      <c r="HO424" s="104"/>
      <c r="HP424" s="104"/>
      <c r="HQ424" s="104"/>
      <c r="HR424" s="104"/>
      <c r="HS424" s="104"/>
      <c r="HT424" s="104"/>
      <c r="HU424" s="104"/>
      <c r="HV424" s="104"/>
      <c r="HW424" s="104"/>
      <c r="HX424" s="104"/>
      <c r="HY424" s="104"/>
      <c r="HZ424" s="104"/>
      <c r="IA424" s="104"/>
      <c r="IB424" s="104"/>
      <c r="IC424" s="104"/>
      <c r="ID424" s="104"/>
      <c r="IE424" s="104"/>
      <c r="IF424" s="104"/>
      <c r="IG424" s="104"/>
      <c r="IH424" s="104"/>
      <c r="II424" s="104"/>
      <c r="IJ424" s="104"/>
      <c r="IK424" s="104"/>
      <c r="IL424" s="104"/>
      <c r="IM424" s="104"/>
      <c r="IN424" s="104"/>
      <c r="IO424" s="104"/>
      <c r="IP424" s="104"/>
      <c r="IQ424" s="104"/>
      <c r="IR424" s="104"/>
      <c r="IS424" s="104"/>
      <c r="IT424" s="104"/>
      <c r="IU424" s="104"/>
      <c r="IV424" s="104"/>
      <c r="IW424" s="104"/>
      <c r="IX424" s="104"/>
      <c r="IY424" s="104"/>
      <c r="IZ424" s="104"/>
      <c r="JA424" s="104"/>
    </row>
  </sheetData>
  <sheetProtection algorithmName="SHA-512" hashValue="9yfQudtK2wTCd6SQdN5NSCQR/IuqvAffM5DesAbSkjKeQrx9WpqjaL3Em7ctCzd5YZKzWKSj6uqZ448APOHJHQ==" saltValue="NU3a3p4LFrITARTITONziw==" spinCount="100000" sheet="1" objects="1" scenarios="1" selectLockedCells="1"/>
  <mergeCells count="25">
    <mergeCell ref="B5:C5"/>
    <mergeCell ref="D5:P5"/>
    <mergeCell ref="G11:H11"/>
    <mergeCell ref="D14:G14"/>
    <mergeCell ref="H14:I14"/>
    <mergeCell ref="J14:K14"/>
    <mergeCell ref="L14:P14"/>
    <mergeCell ref="N15:N16"/>
    <mergeCell ref="O15:O16"/>
    <mergeCell ref="P15:P16"/>
    <mergeCell ref="D22:P22"/>
    <mergeCell ref="D15:D16"/>
    <mergeCell ref="F15:F16"/>
    <mergeCell ref="G15:G16"/>
    <mergeCell ref="H15:H16"/>
    <mergeCell ref="I15:I16"/>
    <mergeCell ref="J15:J16"/>
    <mergeCell ref="K15:K16"/>
    <mergeCell ref="L15:L16"/>
    <mergeCell ref="Q31:R32"/>
    <mergeCell ref="L26:M26"/>
    <mergeCell ref="D28:H28"/>
    <mergeCell ref="D29:H29"/>
    <mergeCell ref="L31:M32"/>
    <mergeCell ref="D26:E26"/>
  </mergeCells>
  <phoneticPr fontId="26" type="noConversion"/>
  <conditionalFormatting sqref="L18">
    <cfRule type="expression" dxfId="0" priority="1">
      <formula>+$L$17="autre béton (kg co²/m3)"</formula>
    </cfRule>
  </conditionalFormatting>
  <dataValidations count="5">
    <dataValidation type="list" allowBlank="1" showInputMessage="1" showErrorMessage="1" sqref="E17" xr:uid="{136D98AA-4279-4160-A9F6-5694D0467289}">
      <formula1>$X$11:$X$12</formula1>
    </dataValidation>
    <dataValidation type="list" allowBlank="1" showInputMessage="1" showErrorMessage="1" sqref="D17" xr:uid="{A02DD97D-10AD-4BFE-B32A-55EF466D24EF}">
      <formula1>$W$24:$W$27</formula1>
    </dataValidation>
    <dataValidation type="list" allowBlank="1" showInputMessage="1" showErrorMessage="1" sqref="M17" xr:uid="{6C2A93BE-DFC7-492D-A207-6857C0B1014D}">
      <formula1>$V$17:$V$20</formula1>
    </dataValidation>
    <dataValidation type="list" allowBlank="1" showInputMessage="1" showErrorMessage="1" sqref="L17" xr:uid="{07863DF2-6BC7-4C58-8163-6A319AE82F3C}">
      <formula1>$W$17:$W$19</formula1>
    </dataValidation>
    <dataValidation type="list" allowBlank="1" showInputMessage="1" showErrorMessage="1" sqref="H17" xr:uid="{413A1134-652E-447F-9901-1688D613334B}">
      <formula1>$W$42:$W$70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F910B-E3C6-4B2E-9A98-B89B5DAFF7E6}">
  <sheetPr codeName="Feuil2">
    <pageSetUpPr fitToPage="1"/>
  </sheetPr>
  <dimension ref="A1:AM46"/>
  <sheetViews>
    <sheetView showGridLines="0" showZeros="0" zoomScale="85" zoomScaleNormal="80" workbookViewId="0">
      <selection activeCell="A7" sqref="A7:AM41"/>
    </sheetView>
  </sheetViews>
  <sheetFormatPr baseColWidth="10" defaultColWidth="11.5703125" defaultRowHeight="14.25" x14ac:dyDescent="0.2"/>
  <cols>
    <col min="1" max="1" width="16.85546875" style="1" customWidth="1"/>
    <col min="2" max="3" width="6.7109375" style="1" customWidth="1"/>
    <col min="4" max="4" width="5.85546875" style="7" customWidth="1"/>
    <col min="5" max="5" width="2.7109375" style="8" customWidth="1"/>
    <col min="6" max="6" width="3.7109375" style="8" customWidth="1"/>
    <col min="7" max="7" width="6.7109375" style="1" customWidth="1"/>
    <col min="8" max="8" width="2.7109375" style="9" customWidth="1"/>
    <col min="9" max="9" width="3.7109375" style="8" customWidth="1"/>
    <col min="10" max="10" width="6.7109375" style="7" customWidth="1"/>
    <col min="11" max="11" width="2.7109375" style="8" customWidth="1"/>
    <col min="12" max="12" width="3.7109375" style="8" customWidth="1"/>
    <col min="13" max="13" width="6.7109375" style="1" customWidth="1"/>
    <col min="14" max="14" width="2.7109375" style="8" customWidth="1"/>
    <col min="15" max="15" width="3.7109375" style="8" customWidth="1"/>
    <col min="16" max="16" width="6.7109375" style="7" customWidth="1"/>
    <col min="17" max="17" width="2.7109375" style="8" customWidth="1"/>
    <col min="18" max="18" width="3.7109375" style="8" customWidth="1"/>
    <col min="19" max="19" width="6.7109375" style="1" customWidth="1"/>
    <col min="20" max="20" width="2.7109375" style="8" customWidth="1"/>
    <col min="21" max="21" width="3.7109375" style="8" customWidth="1"/>
    <col min="22" max="22" width="6.7109375" style="7" customWidth="1"/>
    <col min="23" max="23" width="2.7109375" style="8" customWidth="1"/>
    <col min="24" max="24" width="3.7109375" style="8" customWidth="1"/>
    <col min="25" max="25" width="6.7109375" style="1" customWidth="1"/>
    <col min="26" max="26" width="2.7109375" style="8" customWidth="1"/>
    <col min="27" max="27" width="3.7109375" style="8" customWidth="1"/>
    <col min="28" max="28" width="5.85546875" style="7" customWidth="1"/>
    <col min="29" max="29" width="2.7109375" style="8" customWidth="1"/>
    <col min="30" max="30" width="3.7109375" style="8" customWidth="1"/>
    <col min="31" max="31" width="6.7109375" style="1" customWidth="1"/>
    <col min="32" max="32" width="2.7109375" style="9" customWidth="1"/>
    <col min="33" max="33" width="3.7109375" style="8" customWidth="1"/>
    <col min="34" max="34" width="6.7109375" style="1" customWidth="1"/>
    <col min="35" max="35" width="2.7109375" style="8" customWidth="1"/>
    <col min="36" max="36" width="3.7109375" style="8" customWidth="1"/>
    <col min="37" max="37" width="6.7109375" style="1" customWidth="1"/>
    <col min="38" max="38" width="2.7109375" style="8" customWidth="1"/>
    <col min="39" max="39" width="3.7109375" style="8" customWidth="1"/>
    <col min="40" max="16384" width="11.5703125" style="1"/>
  </cols>
  <sheetData>
    <row r="1" spans="1:39" ht="23.25" x14ac:dyDescent="0.2">
      <c r="A1" s="48" t="s">
        <v>16</v>
      </c>
    </row>
    <row r="2" spans="1:39" x14ac:dyDescent="0.2">
      <c r="B2" s="2"/>
      <c r="P2" s="10"/>
      <c r="V2" s="10"/>
    </row>
    <row r="3" spans="1:39" ht="18" customHeight="1" x14ac:dyDescent="0.2">
      <c r="A3" s="267" t="s">
        <v>0</v>
      </c>
      <c r="B3" s="270" t="s">
        <v>1</v>
      </c>
      <c r="C3" s="271"/>
      <c r="D3" s="272" t="s">
        <v>10</v>
      </c>
      <c r="E3" s="273"/>
      <c r="F3" s="273"/>
      <c r="G3" s="273"/>
      <c r="H3" s="273"/>
      <c r="I3" s="274"/>
      <c r="J3" s="272" t="s">
        <v>11</v>
      </c>
      <c r="K3" s="273"/>
      <c r="L3" s="273"/>
      <c r="M3" s="273"/>
      <c r="N3" s="273"/>
      <c r="O3" s="274"/>
      <c r="P3" s="272" t="s">
        <v>12</v>
      </c>
      <c r="Q3" s="273"/>
      <c r="R3" s="273"/>
      <c r="S3" s="273"/>
      <c r="T3" s="273"/>
      <c r="U3" s="274"/>
      <c r="V3" s="272" t="s">
        <v>13</v>
      </c>
      <c r="W3" s="273"/>
      <c r="X3" s="273"/>
      <c r="Y3" s="273"/>
      <c r="Z3" s="273"/>
      <c r="AA3" s="274"/>
      <c r="AB3" s="272" t="s">
        <v>14</v>
      </c>
      <c r="AC3" s="273"/>
      <c r="AD3" s="273"/>
      <c r="AE3" s="273"/>
      <c r="AF3" s="273"/>
      <c r="AG3" s="274"/>
      <c r="AH3" s="272" t="s">
        <v>15</v>
      </c>
      <c r="AI3" s="273"/>
      <c r="AJ3" s="273"/>
      <c r="AK3" s="273"/>
      <c r="AL3" s="273"/>
      <c r="AM3" s="274"/>
    </row>
    <row r="4" spans="1:39" ht="18" customHeight="1" x14ac:dyDescent="0.2">
      <c r="A4" s="268"/>
      <c r="B4" s="3"/>
      <c r="C4" s="4" t="s">
        <v>2</v>
      </c>
      <c r="D4" s="279"/>
      <c r="E4" s="280"/>
      <c r="F4" s="280"/>
      <c r="G4" s="280"/>
      <c r="H4" s="280"/>
      <c r="I4" s="281"/>
      <c r="J4" s="279"/>
      <c r="K4" s="280"/>
      <c r="L4" s="280"/>
      <c r="M4" s="280"/>
      <c r="N4" s="280"/>
      <c r="O4" s="281"/>
      <c r="P4" s="279"/>
      <c r="Q4" s="280"/>
      <c r="R4" s="280"/>
      <c r="S4" s="280"/>
      <c r="T4" s="280"/>
      <c r="U4" s="281"/>
      <c r="V4" s="279"/>
      <c r="W4" s="280"/>
      <c r="X4" s="280"/>
      <c r="Y4" s="280"/>
      <c r="Z4" s="280"/>
      <c r="AA4" s="281"/>
      <c r="AB4" s="279"/>
      <c r="AC4" s="280"/>
      <c r="AD4" s="280"/>
      <c r="AE4" s="280"/>
      <c r="AF4" s="280"/>
      <c r="AG4" s="281"/>
      <c r="AH4" s="279"/>
      <c r="AI4" s="280"/>
      <c r="AJ4" s="280"/>
      <c r="AK4" s="280"/>
      <c r="AL4" s="280"/>
      <c r="AM4" s="281"/>
    </row>
    <row r="5" spans="1:39" ht="18" customHeight="1" x14ac:dyDescent="0.2">
      <c r="A5" s="269"/>
      <c r="B5" s="5" t="s">
        <v>5</v>
      </c>
      <c r="C5" s="6" t="s">
        <v>6</v>
      </c>
      <c r="D5" s="275" t="s">
        <v>3</v>
      </c>
      <c r="E5" s="276"/>
      <c r="F5" s="277"/>
      <c r="G5" s="276" t="s">
        <v>4</v>
      </c>
      <c r="H5" s="276"/>
      <c r="I5" s="278"/>
      <c r="J5" s="275" t="s">
        <v>3</v>
      </c>
      <c r="K5" s="276"/>
      <c r="L5" s="277"/>
      <c r="M5" s="276" t="s">
        <v>4</v>
      </c>
      <c r="N5" s="276"/>
      <c r="O5" s="278"/>
      <c r="P5" s="275" t="s">
        <v>3</v>
      </c>
      <c r="Q5" s="276"/>
      <c r="R5" s="277"/>
      <c r="S5" s="276" t="s">
        <v>4</v>
      </c>
      <c r="T5" s="276"/>
      <c r="U5" s="278"/>
      <c r="V5" s="275" t="s">
        <v>3</v>
      </c>
      <c r="W5" s="276"/>
      <c r="X5" s="277"/>
      <c r="Y5" s="276" t="s">
        <v>4</v>
      </c>
      <c r="Z5" s="276"/>
      <c r="AA5" s="278"/>
      <c r="AB5" s="275" t="s">
        <v>3</v>
      </c>
      <c r="AC5" s="276"/>
      <c r="AD5" s="277"/>
      <c r="AE5" s="276" t="s">
        <v>4</v>
      </c>
      <c r="AF5" s="276"/>
      <c r="AG5" s="278"/>
      <c r="AH5" s="275" t="s">
        <v>3</v>
      </c>
      <c r="AI5" s="276"/>
      <c r="AJ5" s="277"/>
      <c r="AK5" s="276" t="s">
        <v>4</v>
      </c>
      <c r="AL5" s="276"/>
      <c r="AM5" s="278"/>
    </row>
    <row r="6" spans="1:39" ht="1.9" customHeight="1" x14ac:dyDescent="0.2">
      <c r="G6" s="7"/>
      <c r="M6" s="7"/>
      <c r="S6" s="7"/>
      <c r="Y6" s="7"/>
      <c r="AE6" s="7"/>
      <c r="AK6" s="7"/>
    </row>
    <row r="7" spans="1:39" ht="19.899999999999999" customHeight="1" x14ac:dyDescent="0.2">
      <c r="A7" s="38" t="s">
        <v>103</v>
      </c>
      <c r="B7" s="15">
        <v>70</v>
      </c>
      <c r="C7" s="16">
        <v>150</v>
      </c>
      <c r="D7" s="17">
        <v>7.18</v>
      </c>
      <c r="E7" s="18" t="s">
        <v>104</v>
      </c>
      <c r="F7" s="19" t="s">
        <v>105</v>
      </c>
      <c r="G7" s="20">
        <v>7.56</v>
      </c>
      <c r="H7" s="18" t="s">
        <v>104</v>
      </c>
      <c r="I7" s="21" t="s">
        <v>105</v>
      </c>
      <c r="J7" s="17">
        <v>7.61</v>
      </c>
      <c r="K7" s="18" t="s">
        <v>104</v>
      </c>
      <c r="L7" s="19" t="s">
        <v>105</v>
      </c>
      <c r="M7" s="20">
        <v>8.02</v>
      </c>
      <c r="N7" s="18" t="s">
        <v>104</v>
      </c>
      <c r="O7" s="21" t="s">
        <v>105</v>
      </c>
      <c r="P7" s="17">
        <v>7.75</v>
      </c>
      <c r="Q7" s="18" t="s">
        <v>104</v>
      </c>
      <c r="R7" s="19" t="s">
        <v>105</v>
      </c>
      <c r="S7" s="20">
        <v>7.99</v>
      </c>
      <c r="T7" s="18" t="s">
        <v>104</v>
      </c>
      <c r="U7" s="21" t="s">
        <v>106</v>
      </c>
      <c r="V7" s="17" t="e">
        <v>#REF!</v>
      </c>
      <c r="W7" s="18" t="e">
        <v>#REF!</v>
      </c>
      <c r="X7" s="19" t="e">
        <v>#REF!</v>
      </c>
      <c r="Y7" s="20" t="e">
        <v>#REF!</v>
      </c>
      <c r="Z7" s="18" t="e">
        <v>#REF!</v>
      </c>
      <c r="AA7" s="21" t="e">
        <v>#REF!</v>
      </c>
      <c r="AB7" s="17" t="e">
        <v>#REF!</v>
      </c>
      <c r="AC7" s="18" t="e">
        <v>#REF!</v>
      </c>
      <c r="AD7" s="19" t="e">
        <v>#REF!</v>
      </c>
      <c r="AE7" s="20" t="e">
        <v>#REF!</v>
      </c>
      <c r="AF7" s="18" t="e">
        <v>#REF!</v>
      </c>
      <c r="AG7" s="21" t="e">
        <v>#REF!</v>
      </c>
      <c r="AH7" s="17" t="e">
        <v>#REF!</v>
      </c>
      <c r="AI7" s="18" t="e">
        <v>#REF!</v>
      </c>
      <c r="AJ7" s="19" t="e">
        <v>#REF!</v>
      </c>
      <c r="AK7" s="20" t="e">
        <v>#REF!</v>
      </c>
      <c r="AL7" s="18" t="e">
        <v>#REF!</v>
      </c>
      <c r="AM7" s="21" t="e">
        <v>#REF!</v>
      </c>
    </row>
    <row r="8" spans="1:39" ht="19.899999999999999" customHeight="1" x14ac:dyDescent="0.2">
      <c r="A8" s="39" t="s">
        <v>103</v>
      </c>
      <c r="B8" s="22">
        <v>190</v>
      </c>
      <c r="C8" s="23">
        <v>150</v>
      </c>
      <c r="D8" s="24">
        <v>6.62</v>
      </c>
      <c r="E8" s="25" t="s">
        <v>104</v>
      </c>
      <c r="F8" s="26" t="s">
        <v>105</v>
      </c>
      <c r="G8" s="27">
        <v>6.97</v>
      </c>
      <c r="H8" s="25" t="s">
        <v>104</v>
      </c>
      <c r="I8" s="28" t="s">
        <v>105</v>
      </c>
      <c r="J8" s="24">
        <v>7.01</v>
      </c>
      <c r="K8" s="25" t="s">
        <v>104</v>
      </c>
      <c r="L8" s="26" t="s">
        <v>105</v>
      </c>
      <c r="M8" s="27">
        <v>7.39</v>
      </c>
      <c r="N8" s="25" t="s">
        <v>104</v>
      </c>
      <c r="O8" s="28" t="s">
        <v>105</v>
      </c>
      <c r="P8" s="24">
        <v>7.14</v>
      </c>
      <c r="Q8" s="25" t="s">
        <v>104</v>
      </c>
      <c r="R8" s="26" t="s">
        <v>105</v>
      </c>
      <c r="S8" s="27">
        <v>7.53</v>
      </c>
      <c r="T8" s="25" t="s">
        <v>104</v>
      </c>
      <c r="U8" s="28" t="s">
        <v>105</v>
      </c>
      <c r="V8" s="24" t="e">
        <v>#REF!</v>
      </c>
      <c r="W8" s="25" t="e">
        <v>#REF!</v>
      </c>
      <c r="X8" s="26" t="e">
        <v>#REF!</v>
      </c>
      <c r="Y8" s="27" t="e">
        <v>#REF!</v>
      </c>
      <c r="Z8" s="25" t="e">
        <v>#REF!</v>
      </c>
      <c r="AA8" s="28" t="e">
        <v>#REF!</v>
      </c>
      <c r="AB8" s="24" t="e">
        <v>#REF!</v>
      </c>
      <c r="AC8" s="25" t="e">
        <v>#REF!</v>
      </c>
      <c r="AD8" s="26" t="e">
        <v>#REF!</v>
      </c>
      <c r="AE8" s="27" t="e">
        <v>#REF!</v>
      </c>
      <c r="AF8" s="25" t="e">
        <v>#REF!</v>
      </c>
      <c r="AG8" s="28" t="e">
        <v>#REF!</v>
      </c>
      <c r="AH8" s="24" t="e">
        <v>#REF!</v>
      </c>
      <c r="AI8" s="25" t="e">
        <v>#REF!</v>
      </c>
      <c r="AJ8" s="26" t="e">
        <v>#REF!</v>
      </c>
      <c r="AK8" s="27" t="e">
        <v>#REF!</v>
      </c>
      <c r="AL8" s="25" t="e">
        <v>#REF!</v>
      </c>
      <c r="AM8" s="28" t="e">
        <v>#REF!</v>
      </c>
    </row>
    <row r="9" spans="1:39" ht="19.899999999999999" customHeight="1" x14ac:dyDescent="0.2">
      <c r="A9" s="39" t="s">
        <v>103</v>
      </c>
      <c r="B9" s="29">
        <v>240</v>
      </c>
      <c r="C9" s="30">
        <v>150</v>
      </c>
      <c r="D9" s="31">
        <v>6.4</v>
      </c>
      <c r="E9" s="32" t="s">
        <v>104</v>
      </c>
      <c r="F9" s="33" t="s">
        <v>105</v>
      </c>
      <c r="G9" s="34">
        <v>6.74</v>
      </c>
      <c r="H9" s="32" t="s">
        <v>104</v>
      </c>
      <c r="I9" s="35" t="s">
        <v>105</v>
      </c>
      <c r="J9" s="31">
        <v>6.8</v>
      </c>
      <c r="K9" s="32" t="s">
        <v>104</v>
      </c>
      <c r="L9" s="33" t="s">
        <v>105</v>
      </c>
      <c r="M9" s="34">
        <v>7.17</v>
      </c>
      <c r="N9" s="32" t="s">
        <v>104</v>
      </c>
      <c r="O9" s="35" t="s">
        <v>105</v>
      </c>
      <c r="P9" s="31">
        <v>6.93</v>
      </c>
      <c r="Q9" s="32" t="s">
        <v>104</v>
      </c>
      <c r="R9" s="33" t="s">
        <v>105</v>
      </c>
      <c r="S9" s="34">
        <v>7.31</v>
      </c>
      <c r="T9" s="32" t="s">
        <v>104</v>
      </c>
      <c r="U9" s="35" t="s">
        <v>105</v>
      </c>
      <c r="V9" s="31" t="e">
        <v>#REF!</v>
      </c>
      <c r="W9" s="32" t="e">
        <v>#REF!</v>
      </c>
      <c r="X9" s="33" t="e">
        <v>#REF!</v>
      </c>
      <c r="Y9" s="34" t="e">
        <v>#REF!</v>
      </c>
      <c r="Z9" s="32" t="e">
        <v>#REF!</v>
      </c>
      <c r="AA9" s="35" t="e">
        <v>#REF!</v>
      </c>
      <c r="AB9" s="31" t="e">
        <v>#REF!</v>
      </c>
      <c r="AC9" s="32" t="e">
        <v>#REF!</v>
      </c>
      <c r="AD9" s="33" t="e">
        <v>#REF!</v>
      </c>
      <c r="AE9" s="34" t="e">
        <v>#REF!</v>
      </c>
      <c r="AF9" s="32" t="e">
        <v>#REF!</v>
      </c>
      <c r="AG9" s="35" t="e">
        <v>#REF!</v>
      </c>
      <c r="AH9" s="31" t="e">
        <v>#REF!</v>
      </c>
      <c r="AI9" s="32" t="e">
        <v>#REF!</v>
      </c>
      <c r="AJ9" s="33" t="e">
        <v>#REF!</v>
      </c>
      <c r="AK9" s="34" t="e">
        <v>#REF!</v>
      </c>
      <c r="AL9" s="32" t="e">
        <v>#REF!</v>
      </c>
      <c r="AM9" s="35" t="e">
        <v>#REF!</v>
      </c>
    </row>
    <row r="10" spans="1:39" ht="19.899999999999999" customHeight="1" x14ac:dyDescent="0.2">
      <c r="A10" s="39" t="s">
        <v>103</v>
      </c>
      <c r="B10" s="22">
        <v>270</v>
      </c>
      <c r="C10" s="23">
        <v>150</v>
      </c>
      <c r="D10" s="24">
        <v>6.27</v>
      </c>
      <c r="E10" s="25" t="s">
        <v>104</v>
      </c>
      <c r="F10" s="26" t="s">
        <v>105</v>
      </c>
      <c r="G10" s="27">
        <v>6.61</v>
      </c>
      <c r="H10" s="25" t="s">
        <v>104</v>
      </c>
      <c r="I10" s="28" t="s">
        <v>105</v>
      </c>
      <c r="J10" s="24">
        <v>6.69</v>
      </c>
      <c r="K10" s="25" t="s">
        <v>104</v>
      </c>
      <c r="L10" s="26" t="s">
        <v>105</v>
      </c>
      <c r="M10" s="27">
        <v>7.05</v>
      </c>
      <c r="N10" s="25" t="s">
        <v>104</v>
      </c>
      <c r="O10" s="28" t="s">
        <v>105</v>
      </c>
      <c r="P10" s="24">
        <v>6.81</v>
      </c>
      <c r="Q10" s="25" t="s">
        <v>104</v>
      </c>
      <c r="R10" s="26" t="s">
        <v>105</v>
      </c>
      <c r="S10" s="27">
        <v>7.18</v>
      </c>
      <c r="T10" s="25" t="s">
        <v>104</v>
      </c>
      <c r="U10" s="28" t="s">
        <v>105</v>
      </c>
      <c r="V10" s="24" t="e">
        <v>#REF!</v>
      </c>
      <c r="W10" s="25" t="e">
        <v>#REF!</v>
      </c>
      <c r="X10" s="26" t="e">
        <v>#REF!</v>
      </c>
      <c r="Y10" s="27" t="e">
        <v>#REF!</v>
      </c>
      <c r="Z10" s="25" t="e">
        <v>#REF!</v>
      </c>
      <c r="AA10" s="28" t="e">
        <v>#REF!</v>
      </c>
      <c r="AB10" s="24" t="e">
        <v>#REF!</v>
      </c>
      <c r="AC10" s="25" t="e">
        <v>#REF!</v>
      </c>
      <c r="AD10" s="26" t="e">
        <v>#REF!</v>
      </c>
      <c r="AE10" s="27" t="e">
        <v>#REF!</v>
      </c>
      <c r="AF10" s="25" t="e">
        <v>#REF!</v>
      </c>
      <c r="AG10" s="28" t="e">
        <v>#REF!</v>
      </c>
      <c r="AH10" s="24" t="e">
        <v>#REF!</v>
      </c>
      <c r="AI10" s="25" t="e">
        <v>#REF!</v>
      </c>
      <c r="AJ10" s="26" t="e">
        <v>#REF!</v>
      </c>
      <c r="AK10" s="27" t="e">
        <v>#REF!</v>
      </c>
      <c r="AL10" s="25" t="e">
        <v>#REF!</v>
      </c>
      <c r="AM10" s="28" t="e">
        <v>#REF!</v>
      </c>
    </row>
    <row r="11" spans="1:39" ht="19.899999999999999" customHeight="1" x14ac:dyDescent="0.2">
      <c r="A11" s="39" t="s">
        <v>103</v>
      </c>
      <c r="B11" s="29">
        <v>70</v>
      </c>
      <c r="C11" s="30">
        <v>250</v>
      </c>
      <c r="D11" s="31">
        <v>6.7</v>
      </c>
      <c r="E11" s="32" t="s">
        <v>104</v>
      </c>
      <c r="F11" s="33" t="s">
        <v>105</v>
      </c>
      <c r="G11" s="34">
        <v>7.06</v>
      </c>
      <c r="H11" s="32" t="s">
        <v>104</v>
      </c>
      <c r="I11" s="35" t="s">
        <v>105</v>
      </c>
      <c r="J11" s="31">
        <v>7.1</v>
      </c>
      <c r="K11" s="32" t="s">
        <v>104</v>
      </c>
      <c r="L11" s="33" t="s">
        <v>105</v>
      </c>
      <c r="M11" s="34">
        <v>7.49</v>
      </c>
      <c r="N11" s="32" t="s">
        <v>104</v>
      </c>
      <c r="O11" s="35" t="s">
        <v>105</v>
      </c>
      <c r="P11" s="31">
        <v>7.24</v>
      </c>
      <c r="Q11" s="32" t="s">
        <v>104</v>
      </c>
      <c r="R11" s="33" t="s">
        <v>105</v>
      </c>
      <c r="S11" s="34">
        <v>7.63</v>
      </c>
      <c r="T11" s="32" t="s">
        <v>104</v>
      </c>
      <c r="U11" s="35" t="s">
        <v>105</v>
      </c>
      <c r="V11" s="31" t="e">
        <v>#REF!</v>
      </c>
      <c r="W11" s="32" t="e">
        <v>#REF!</v>
      </c>
      <c r="X11" s="33" t="e">
        <v>#REF!</v>
      </c>
      <c r="Y11" s="34" t="e">
        <v>#REF!</v>
      </c>
      <c r="Z11" s="32" t="e">
        <v>#REF!</v>
      </c>
      <c r="AA11" s="35" t="e">
        <v>#REF!</v>
      </c>
      <c r="AB11" s="31" t="e">
        <v>#REF!</v>
      </c>
      <c r="AC11" s="32" t="e">
        <v>#REF!</v>
      </c>
      <c r="AD11" s="33" t="e">
        <v>#REF!</v>
      </c>
      <c r="AE11" s="34" t="e">
        <v>#REF!</v>
      </c>
      <c r="AF11" s="32" t="e">
        <v>#REF!</v>
      </c>
      <c r="AG11" s="35" t="e">
        <v>#REF!</v>
      </c>
      <c r="AH11" s="31" t="e">
        <v>#REF!</v>
      </c>
      <c r="AI11" s="32" t="e">
        <v>#REF!</v>
      </c>
      <c r="AJ11" s="33" t="e">
        <v>#REF!</v>
      </c>
      <c r="AK11" s="34" t="e">
        <v>#REF!</v>
      </c>
      <c r="AL11" s="32" t="e">
        <v>#REF!</v>
      </c>
      <c r="AM11" s="35" t="e">
        <v>#REF!</v>
      </c>
    </row>
    <row r="12" spans="1:39" ht="19.899999999999999" customHeight="1" x14ac:dyDescent="0.2">
      <c r="A12" s="39" t="s">
        <v>103</v>
      </c>
      <c r="B12" s="22">
        <v>190</v>
      </c>
      <c r="C12" s="23">
        <v>250</v>
      </c>
      <c r="D12" s="24">
        <v>6.24</v>
      </c>
      <c r="E12" s="25" t="s">
        <v>104</v>
      </c>
      <c r="F12" s="26" t="s">
        <v>105</v>
      </c>
      <c r="G12" s="27">
        <v>6.57</v>
      </c>
      <c r="H12" s="25" t="s">
        <v>104</v>
      </c>
      <c r="I12" s="28" t="s">
        <v>105</v>
      </c>
      <c r="J12" s="24">
        <v>6.61</v>
      </c>
      <c r="K12" s="25" t="s">
        <v>104</v>
      </c>
      <c r="L12" s="26" t="s">
        <v>105</v>
      </c>
      <c r="M12" s="27">
        <v>6.97</v>
      </c>
      <c r="N12" s="25" t="s">
        <v>104</v>
      </c>
      <c r="O12" s="28" t="s">
        <v>105</v>
      </c>
      <c r="P12" s="24">
        <v>6.74</v>
      </c>
      <c r="Q12" s="25" t="s">
        <v>104</v>
      </c>
      <c r="R12" s="26" t="s">
        <v>105</v>
      </c>
      <c r="S12" s="27">
        <v>7.1</v>
      </c>
      <c r="T12" s="25" t="s">
        <v>104</v>
      </c>
      <c r="U12" s="28" t="s">
        <v>105</v>
      </c>
      <c r="V12" s="24" t="e">
        <v>#REF!</v>
      </c>
      <c r="W12" s="25" t="e">
        <v>#REF!</v>
      </c>
      <c r="X12" s="26" t="e">
        <v>#REF!</v>
      </c>
      <c r="Y12" s="27" t="e">
        <v>#REF!</v>
      </c>
      <c r="Z12" s="25" t="e">
        <v>#REF!</v>
      </c>
      <c r="AA12" s="28" t="e">
        <v>#REF!</v>
      </c>
      <c r="AB12" s="24" t="e">
        <v>#REF!</v>
      </c>
      <c r="AC12" s="25" t="e">
        <v>#REF!</v>
      </c>
      <c r="AD12" s="26" t="e">
        <v>#REF!</v>
      </c>
      <c r="AE12" s="27" t="e">
        <v>#REF!</v>
      </c>
      <c r="AF12" s="25" t="e">
        <v>#REF!</v>
      </c>
      <c r="AG12" s="28" t="e">
        <v>#REF!</v>
      </c>
      <c r="AH12" s="24" t="e">
        <v>#REF!</v>
      </c>
      <c r="AI12" s="25" t="e">
        <v>#REF!</v>
      </c>
      <c r="AJ12" s="26" t="e">
        <v>#REF!</v>
      </c>
      <c r="AK12" s="27" t="e">
        <v>#REF!</v>
      </c>
      <c r="AL12" s="25" t="e">
        <v>#REF!</v>
      </c>
      <c r="AM12" s="28" t="e">
        <v>#REF!</v>
      </c>
    </row>
    <row r="13" spans="1:39" ht="19.899999999999999" customHeight="1" x14ac:dyDescent="0.2">
      <c r="A13" s="39" t="s">
        <v>103</v>
      </c>
      <c r="B13" s="29">
        <v>240</v>
      </c>
      <c r="C13" s="30">
        <v>250</v>
      </c>
      <c r="D13" s="31">
        <v>6.07</v>
      </c>
      <c r="E13" s="32" t="s">
        <v>104</v>
      </c>
      <c r="F13" s="33" t="s">
        <v>105</v>
      </c>
      <c r="G13" s="34">
        <v>6.4</v>
      </c>
      <c r="H13" s="32" t="s">
        <v>104</v>
      </c>
      <c r="I13" s="35" t="s">
        <v>105</v>
      </c>
      <c r="J13" s="31">
        <v>6.43</v>
      </c>
      <c r="K13" s="32" t="s">
        <v>104</v>
      </c>
      <c r="L13" s="33" t="s">
        <v>105</v>
      </c>
      <c r="M13" s="34">
        <v>6.78</v>
      </c>
      <c r="N13" s="32" t="s">
        <v>104</v>
      </c>
      <c r="O13" s="35" t="s">
        <v>105</v>
      </c>
      <c r="P13" s="31">
        <v>6.56</v>
      </c>
      <c r="Q13" s="32" t="s">
        <v>104</v>
      </c>
      <c r="R13" s="33" t="s">
        <v>105</v>
      </c>
      <c r="S13" s="34">
        <v>6.91</v>
      </c>
      <c r="T13" s="32" t="s">
        <v>104</v>
      </c>
      <c r="U13" s="35" t="s">
        <v>105</v>
      </c>
      <c r="V13" s="31" t="e">
        <v>#REF!</v>
      </c>
      <c r="W13" s="32" t="e">
        <v>#REF!</v>
      </c>
      <c r="X13" s="33" t="e">
        <v>#REF!</v>
      </c>
      <c r="Y13" s="34" t="e">
        <v>#REF!</v>
      </c>
      <c r="Z13" s="32" t="e">
        <v>#REF!</v>
      </c>
      <c r="AA13" s="35" t="e">
        <v>#REF!</v>
      </c>
      <c r="AB13" s="31" t="e">
        <v>#REF!</v>
      </c>
      <c r="AC13" s="32" t="e">
        <v>#REF!</v>
      </c>
      <c r="AD13" s="33" t="e">
        <v>#REF!</v>
      </c>
      <c r="AE13" s="34" t="e">
        <v>#REF!</v>
      </c>
      <c r="AF13" s="32" t="e">
        <v>#REF!</v>
      </c>
      <c r="AG13" s="35" t="e">
        <v>#REF!</v>
      </c>
      <c r="AH13" s="31" t="e">
        <v>#REF!</v>
      </c>
      <c r="AI13" s="32" t="e">
        <v>#REF!</v>
      </c>
      <c r="AJ13" s="33" t="e">
        <v>#REF!</v>
      </c>
      <c r="AK13" s="34" t="e">
        <v>#REF!</v>
      </c>
      <c r="AL13" s="32" t="e">
        <v>#REF!</v>
      </c>
      <c r="AM13" s="35" t="e">
        <v>#REF!</v>
      </c>
    </row>
    <row r="14" spans="1:39" ht="19.899999999999999" customHeight="1" x14ac:dyDescent="0.2">
      <c r="A14" s="40" t="s">
        <v>103</v>
      </c>
      <c r="B14" s="41">
        <v>270</v>
      </c>
      <c r="C14" s="42">
        <v>250</v>
      </c>
      <c r="D14" s="43">
        <v>5.98</v>
      </c>
      <c r="E14" s="44" t="s">
        <v>104</v>
      </c>
      <c r="F14" s="45" t="s">
        <v>105</v>
      </c>
      <c r="G14" s="46">
        <v>6.3</v>
      </c>
      <c r="H14" s="44" t="s">
        <v>104</v>
      </c>
      <c r="I14" s="47" t="s">
        <v>105</v>
      </c>
      <c r="J14" s="43">
        <v>6.34</v>
      </c>
      <c r="K14" s="44" t="s">
        <v>104</v>
      </c>
      <c r="L14" s="45" t="s">
        <v>105</v>
      </c>
      <c r="M14" s="46">
        <v>6.68</v>
      </c>
      <c r="N14" s="44" t="s">
        <v>104</v>
      </c>
      <c r="O14" s="47" t="s">
        <v>105</v>
      </c>
      <c r="P14" s="43">
        <v>6.45</v>
      </c>
      <c r="Q14" s="44" t="s">
        <v>104</v>
      </c>
      <c r="R14" s="45" t="s">
        <v>105</v>
      </c>
      <c r="S14" s="46">
        <v>6.8</v>
      </c>
      <c r="T14" s="44" t="s">
        <v>104</v>
      </c>
      <c r="U14" s="47" t="s">
        <v>105</v>
      </c>
      <c r="V14" s="43" t="e">
        <v>#REF!</v>
      </c>
      <c r="W14" s="44" t="e">
        <v>#REF!</v>
      </c>
      <c r="X14" s="45" t="e">
        <v>#REF!</v>
      </c>
      <c r="Y14" s="46" t="e">
        <v>#REF!</v>
      </c>
      <c r="Z14" s="44" t="e">
        <v>#REF!</v>
      </c>
      <c r="AA14" s="47" t="e">
        <v>#REF!</v>
      </c>
      <c r="AB14" s="43" t="e">
        <v>#REF!</v>
      </c>
      <c r="AC14" s="44" t="e">
        <v>#REF!</v>
      </c>
      <c r="AD14" s="45" t="e">
        <v>#REF!</v>
      </c>
      <c r="AE14" s="46" t="e">
        <v>#REF!</v>
      </c>
      <c r="AF14" s="44" t="e">
        <v>#REF!</v>
      </c>
      <c r="AG14" s="47" t="e">
        <v>#REF!</v>
      </c>
      <c r="AH14" s="43" t="e">
        <v>#REF!</v>
      </c>
      <c r="AI14" s="44" t="e">
        <v>#REF!</v>
      </c>
      <c r="AJ14" s="45" t="e">
        <v>#REF!</v>
      </c>
      <c r="AK14" s="46" t="e">
        <v>#REF!</v>
      </c>
      <c r="AL14" s="44" t="e">
        <v>#REF!</v>
      </c>
      <c r="AM14" s="47" t="e">
        <v>#REF!</v>
      </c>
    </row>
    <row r="15" spans="1:39" ht="3" customHeight="1" x14ac:dyDescent="0.2">
      <c r="A15" s="1" t="e">
        <v>#REF!</v>
      </c>
      <c r="B15" s="36" t="e">
        <v>#REF!</v>
      </c>
      <c r="C15" s="36" t="e">
        <v>#REF!</v>
      </c>
      <c r="D15" s="37" t="e">
        <v>#REF!</v>
      </c>
      <c r="E15" s="36" t="e">
        <v>#REF!</v>
      </c>
      <c r="F15" s="36" t="e">
        <v>#REF!</v>
      </c>
      <c r="G15" s="36" t="e">
        <v>#REF!</v>
      </c>
      <c r="H15" s="36" t="e">
        <v>#REF!</v>
      </c>
      <c r="I15" s="36" t="e">
        <v>#REF!</v>
      </c>
      <c r="J15" s="37" t="e">
        <v>#REF!</v>
      </c>
      <c r="K15" s="36" t="e">
        <v>#REF!</v>
      </c>
      <c r="L15" s="36" t="e">
        <v>#REF!</v>
      </c>
      <c r="M15" s="36" t="e">
        <v>#REF!</v>
      </c>
      <c r="N15" s="36" t="e">
        <v>#REF!</v>
      </c>
      <c r="O15" s="36" t="e">
        <v>#REF!</v>
      </c>
      <c r="P15" s="37" t="e">
        <v>#REF!</v>
      </c>
      <c r="Q15" s="36" t="e">
        <v>#REF!</v>
      </c>
      <c r="R15" s="36" t="e">
        <v>#REF!</v>
      </c>
      <c r="S15" s="36" t="e">
        <v>#REF!</v>
      </c>
      <c r="T15" s="36" t="e">
        <v>#REF!</v>
      </c>
      <c r="U15" s="36" t="e">
        <v>#REF!</v>
      </c>
      <c r="V15" s="37" t="e">
        <v>#REF!</v>
      </c>
      <c r="W15" s="36" t="e">
        <v>#REF!</v>
      </c>
      <c r="X15" s="36" t="e">
        <v>#REF!</v>
      </c>
      <c r="Y15" s="36" t="e">
        <v>#REF!</v>
      </c>
      <c r="Z15" s="36" t="e">
        <v>#REF!</v>
      </c>
      <c r="AA15" s="36" t="e">
        <v>#REF!</v>
      </c>
      <c r="AB15" s="37" t="e">
        <v>#REF!</v>
      </c>
      <c r="AC15" s="36" t="e">
        <v>#REF!</v>
      </c>
      <c r="AD15" s="36" t="e">
        <v>#REF!</v>
      </c>
      <c r="AE15" s="36" t="e">
        <v>#REF!</v>
      </c>
      <c r="AF15" s="36" t="e">
        <v>#REF!</v>
      </c>
      <c r="AG15" s="36" t="e">
        <v>#REF!</v>
      </c>
      <c r="AH15" s="37" t="e">
        <v>#REF!</v>
      </c>
      <c r="AI15" s="36" t="e">
        <v>#REF!</v>
      </c>
      <c r="AJ15" s="36" t="e">
        <v>#REF!</v>
      </c>
      <c r="AK15" s="36" t="e">
        <v>#REF!</v>
      </c>
      <c r="AL15" s="36" t="e">
        <v>#REF!</v>
      </c>
      <c r="AM15" s="36" t="e">
        <v>#REF!</v>
      </c>
    </row>
    <row r="16" spans="1:39" ht="19.899999999999999" customHeight="1" x14ac:dyDescent="0.2">
      <c r="A16" s="38" t="s">
        <v>107</v>
      </c>
      <c r="B16" s="15">
        <v>70</v>
      </c>
      <c r="C16" s="16">
        <v>150</v>
      </c>
      <c r="D16" s="17">
        <v>7.05</v>
      </c>
      <c r="E16" s="18" t="s">
        <v>104</v>
      </c>
      <c r="F16" s="19" t="s">
        <v>105</v>
      </c>
      <c r="G16" s="20">
        <v>7.43</v>
      </c>
      <c r="H16" s="18" t="s">
        <v>104</v>
      </c>
      <c r="I16" s="21" t="s">
        <v>105</v>
      </c>
      <c r="J16" s="17">
        <v>7.47</v>
      </c>
      <c r="K16" s="18" t="s">
        <v>104</v>
      </c>
      <c r="L16" s="19" t="s">
        <v>105</v>
      </c>
      <c r="M16" s="20">
        <v>7.8</v>
      </c>
      <c r="N16" s="18" t="s">
        <v>104</v>
      </c>
      <c r="O16" s="21" t="s">
        <v>106</v>
      </c>
      <c r="P16" s="17">
        <v>7.61</v>
      </c>
      <c r="Q16" s="18" t="s">
        <v>104</v>
      </c>
      <c r="R16" s="19" t="s">
        <v>105</v>
      </c>
      <c r="S16" s="20">
        <v>7.77</v>
      </c>
      <c r="T16" s="18" t="s">
        <v>104</v>
      </c>
      <c r="U16" s="21" t="s">
        <v>106</v>
      </c>
      <c r="V16" s="17">
        <v>7.27</v>
      </c>
      <c r="W16" s="18" t="s">
        <v>104</v>
      </c>
      <c r="X16" s="19" t="s">
        <v>105</v>
      </c>
      <c r="Y16" s="20">
        <v>7.66</v>
      </c>
      <c r="Z16" s="18" t="s">
        <v>104</v>
      </c>
      <c r="AA16" s="21" t="s">
        <v>105</v>
      </c>
      <c r="AB16" s="17">
        <v>7.71</v>
      </c>
      <c r="AC16" s="18" t="s">
        <v>104</v>
      </c>
      <c r="AD16" s="19" t="s">
        <v>105</v>
      </c>
      <c r="AE16" s="20">
        <v>7.89</v>
      </c>
      <c r="AF16" s="18" t="s">
        <v>104</v>
      </c>
      <c r="AG16" s="21" t="s">
        <v>106</v>
      </c>
      <c r="AH16" s="17">
        <v>7.87</v>
      </c>
      <c r="AI16" s="18" t="s">
        <v>104</v>
      </c>
      <c r="AJ16" s="19" t="s">
        <v>106</v>
      </c>
      <c r="AK16" s="20">
        <v>7.87</v>
      </c>
      <c r="AL16" s="18" t="s">
        <v>104</v>
      </c>
      <c r="AM16" s="21" t="s">
        <v>106</v>
      </c>
    </row>
    <row r="17" spans="1:39" ht="19.899999999999999" customHeight="1" x14ac:dyDescent="0.2">
      <c r="A17" s="39" t="s">
        <v>107</v>
      </c>
      <c r="B17" s="22">
        <v>190</v>
      </c>
      <c r="C17" s="23">
        <v>150</v>
      </c>
      <c r="D17" s="24">
        <v>6.51</v>
      </c>
      <c r="E17" s="25" t="s">
        <v>104</v>
      </c>
      <c r="F17" s="26" t="s">
        <v>105</v>
      </c>
      <c r="G17" s="27">
        <v>6.86</v>
      </c>
      <c r="H17" s="25" t="s">
        <v>104</v>
      </c>
      <c r="I17" s="28" t="s">
        <v>105</v>
      </c>
      <c r="J17" s="24">
        <v>6.95</v>
      </c>
      <c r="K17" s="25" t="s">
        <v>104</v>
      </c>
      <c r="L17" s="26" t="s">
        <v>105</v>
      </c>
      <c r="M17" s="27">
        <v>7.32</v>
      </c>
      <c r="N17" s="25" t="s">
        <v>104</v>
      </c>
      <c r="O17" s="28" t="s">
        <v>105</v>
      </c>
      <c r="P17" s="24">
        <v>7.08</v>
      </c>
      <c r="Q17" s="25" t="s">
        <v>104</v>
      </c>
      <c r="R17" s="26" t="s">
        <v>105</v>
      </c>
      <c r="S17" s="27">
        <v>7.46</v>
      </c>
      <c r="T17" s="25" t="s">
        <v>104</v>
      </c>
      <c r="U17" s="28" t="s">
        <v>105</v>
      </c>
      <c r="V17" s="24">
        <v>6.71</v>
      </c>
      <c r="W17" s="25" t="s">
        <v>104</v>
      </c>
      <c r="X17" s="26" t="s">
        <v>105</v>
      </c>
      <c r="Y17" s="27">
        <v>7.07</v>
      </c>
      <c r="Z17" s="25" t="s">
        <v>104</v>
      </c>
      <c r="AA17" s="28" t="s">
        <v>105</v>
      </c>
      <c r="AB17" s="24">
        <v>7.13</v>
      </c>
      <c r="AC17" s="25" t="s">
        <v>104</v>
      </c>
      <c r="AD17" s="26" t="s">
        <v>105</v>
      </c>
      <c r="AE17" s="27">
        <v>7.52</v>
      </c>
      <c r="AF17" s="25" t="s">
        <v>104</v>
      </c>
      <c r="AG17" s="28" t="s">
        <v>105</v>
      </c>
      <c r="AH17" s="24">
        <v>7.3</v>
      </c>
      <c r="AI17" s="25" t="s">
        <v>104</v>
      </c>
      <c r="AJ17" s="26" t="s">
        <v>105</v>
      </c>
      <c r="AK17" s="27">
        <v>7.69</v>
      </c>
      <c r="AL17" s="25" t="s">
        <v>104</v>
      </c>
      <c r="AM17" s="28" t="s">
        <v>105</v>
      </c>
    </row>
    <row r="18" spans="1:39" ht="19.899999999999999" customHeight="1" x14ac:dyDescent="0.2">
      <c r="A18" s="39" t="s">
        <v>107</v>
      </c>
      <c r="B18" s="29">
        <v>240</v>
      </c>
      <c r="C18" s="30">
        <v>150</v>
      </c>
      <c r="D18" s="31">
        <v>6.31</v>
      </c>
      <c r="E18" s="32" t="s">
        <v>104</v>
      </c>
      <c r="F18" s="33" t="s">
        <v>105</v>
      </c>
      <c r="G18" s="34">
        <v>6.65</v>
      </c>
      <c r="H18" s="32" t="s">
        <v>104</v>
      </c>
      <c r="I18" s="35" t="s">
        <v>105</v>
      </c>
      <c r="J18" s="31">
        <v>6.75</v>
      </c>
      <c r="K18" s="32" t="s">
        <v>104</v>
      </c>
      <c r="L18" s="33" t="s">
        <v>105</v>
      </c>
      <c r="M18" s="34">
        <v>7.11</v>
      </c>
      <c r="N18" s="32" t="s">
        <v>104</v>
      </c>
      <c r="O18" s="35" t="s">
        <v>105</v>
      </c>
      <c r="P18" s="31">
        <v>6.89</v>
      </c>
      <c r="Q18" s="32" t="s">
        <v>104</v>
      </c>
      <c r="R18" s="33" t="s">
        <v>105</v>
      </c>
      <c r="S18" s="34">
        <v>7.26</v>
      </c>
      <c r="T18" s="32" t="s">
        <v>104</v>
      </c>
      <c r="U18" s="35" t="s">
        <v>105</v>
      </c>
      <c r="V18" s="31">
        <v>6.49</v>
      </c>
      <c r="W18" s="32" t="s">
        <v>104</v>
      </c>
      <c r="X18" s="33" t="s">
        <v>105</v>
      </c>
      <c r="Y18" s="34">
        <v>6.84</v>
      </c>
      <c r="Z18" s="32" t="s">
        <v>104</v>
      </c>
      <c r="AA18" s="35" t="s">
        <v>105</v>
      </c>
      <c r="AB18" s="31">
        <v>6.93</v>
      </c>
      <c r="AC18" s="32" t="s">
        <v>104</v>
      </c>
      <c r="AD18" s="33" t="s">
        <v>105</v>
      </c>
      <c r="AE18" s="34">
        <v>7.3</v>
      </c>
      <c r="AF18" s="32" t="s">
        <v>104</v>
      </c>
      <c r="AG18" s="35" t="s">
        <v>105</v>
      </c>
      <c r="AH18" s="31">
        <v>7.09</v>
      </c>
      <c r="AI18" s="32" t="s">
        <v>104</v>
      </c>
      <c r="AJ18" s="33" t="s">
        <v>105</v>
      </c>
      <c r="AK18" s="34">
        <v>7.47</v>
      </c>
      <c r="AL18" s="32" t="s">
        <v>104</v>
      </c>
      <c r="AM18" s="35" t="s">
        <v>105</v>
      </c>
    </row>
    <row r="19" spans="1:39" ht="19.899999999999999" customHeight="1" x14ac:dyDescent="0.2">
      <c r="A19" s="39" t="s">
        <v>107</v>
      </c>
      <c r="B19" s="22">
        <v>270</v>
      </c>
      <c r="C19" s="23">
        <v>150</v>
      </c>
      <c r="D19" s="24">
        <v>6.2</v>
      </c>
      <c r="E19" s="25" t="s">
        <v>104</v>
      </c>
      <c r="F19" s="26" t="s">
        <v>105</v>
      </c>
      <c r="G19" s="27">
        <v>6.54</v>
      </c>
      <c r="H19" s="25" t="s">
        <v>104</v>
      </c>
      <c r="I19" s="28" t="s">
        <v>105</v>
      </c>
      <c r="J19" s="24">
        <v>6.63</v>
      </c>
      <c r="K19" s="25" t="s">
        <v>104</v>
      </c>
      <c r="L19" s="26" t="s">
        <v>105</v>
      </c>
      <c r="M19" s="27">
        <v>6.99</v>
      </c>
      <c r="N19" s="25" t="s">
        <v>104</v>
      </c>
      <c r="O19" s="28" t="s">
        <v>105</v>
      </c>
      <c r="P19" s="24">
        <v>6.77</v>
      </c>
      <c r="Q19" s="25" t="s">
        <v>104</v>
      </c>
      <c r="R19" s="26" t="s">
        <v>105</v>
      </c>
      <c r="S19" s="27">
        <v>7.14</v>
      </c>
      <c r="T19" s="25" t="s">
        <v>104</v>
      </c>
      <c r="U19" s="28" t="s">
        <v>105</v>
      </c>
      <c r="V19" s="24">
        <v>6.36</v>
      </c>
      <c r="W19" s="25" t="s">
        <v>104</v>
      </c>
      <c r="X19" s="26" t="s">
        <v>105</v>
      </c>
      <c r="Y19" s="27">
        <v>6.71</v>
      </c>
      <c r="Z19" s="25" t="s">
        <v>104</v>
      </c>
      <c r="AA19" s="28" t="s">
        <v>105</v>
      </c>
      <c r="AB19" s="24">
        <v>6.81</v>
      </c>
      <c r="AC19" s="25" t="s">
        <v>104</v>
      </c>
      <c r="AD19" s="26" t="s">
        <v>105</v>
      </c>
      <c r="AE19" s="27">
        <v>7.18</v>
      </c>
      <c r="AF19" s="25" t="s">
        <v>104</v>
      </c>
      <c r="AG19" s="28" t="s">
        <v>105</v>
      </c>
      <c r="AH19" s="24">
        <v>6.97</v>
      </c>
      <c r="AI19" s="25" t="s">
        <v>104</v>
      </c>
      <c r="AJ19" s="26" t="s">
        <v>105</v>
      </c>
      <c r="AK19" s="27">
        <v>7.35</v>
      </c>
      <c r="AL19" s="25" t="s">
        <v>104</v>
      </c>
      <c r="AM19" s="28" t="s">
        <v>105</v>
      </c>
    </row>
    <row r="20" spans="1:39" ht="19.899999999999999" customHeight="1" x14ac:dyDescent="0.2">
      <c r="A20" s="39" t="s">
        <v>107</v>
      </c>
      <c r="B20" s="29">
        <v>70</v>
      </c>
      <c r="C20" s="30">
        <v>250</v>
      </c>
      <c r="D20" s="31">
        <v>6.63</v>
      </c>
      <c r="E20" s="32" t="s">
        <v>104</v>
      </c>
      <c r="F20" s="33" t="s">
        <v>105</v>
      </c>
      <c r="G20" s="34">
        <v>6.99</v>
      </c>
      <c r="H20" s="32" t="s">
        <v>104</v>
      </c>
      <c r="I20" s="35" t="s">
        <v>105</v>
      </c>
      <c r="J20" s="31">
        <v>7.03</v>
      </c>
      <c r="K20" s="32" t="s">
        <v>104</v>
      </c>
      <c r="L20" s="33" t="s">
        <v>105</v>
      </c>
      <c r="M20" s="34">
        <v>7.41</v>
      </c>
      <c r="N20" s="32" t="s">
        <v>104</v>
      </c>
      <c r="O20" s="35" t="s">
        <v>105</v>
      </c>
      <c r="P20" s="31">
        <v>7.16</v>
      </c>
      <c r="Q20" s="32" t="s">
        <v>104</v>
      </c>
      <c r="R20" s="33" t="s">
        <v>105</v>
      </c>
      <c r="S20" s="34">
        <v>7.55</v>
      </c>
      <c r="T20" s="32" t="s">
        <v>104</v>
      </c>
      <c r="U20" s="35" t="s">
        <v>105</v>
      </c>
      <c r="V20" s="31">
        <v>6.81</v>
      </c>
      <c r="W20" s="32" t="s">
        <v>104</v>
      </c>
      <c r="X20" s="33" t="s">
        <v>105</v>
      </c>
      <c r="Y20" s="34">
        <v>7.18</v>
      </c>
      <c r="Z20" s="32" t="s">
        <v>104</v>
      </c>
      <c r="AA20" s="35" t="s">
        <v>105</v>
      </c>
      <c r="AB20" s="31">
        <v>7.22</v>
      </c>
      <c r="AC20" s="32" t="s">
        <v>104</v>
      </c>
      <c r="AD20" s="33" t="s">
        <v>105</v>
      </c>
      <c r="AE20" s="34">
        <v>7.61</v>
      </c>
      <c r="AF20" s="32" t="s">
        <v>104</v>
      </c>
      <c r="AG20" s="35" t="s">
        <v>105</v>
      </c>
      <c r="AH20" s="31">
        <v>7.39</v>
      </c>
      <c r="AI20" s="32" t="s">
        <v>104</v>
      </c>
      <c r="AJ20" s="33" t="s">
        <v>105</v>
      </c>
      <c r="AK20" s="34">
        <v>7.79</v>
      </c>
      <c r="AL20" s="32" t="s">
        <v>104</v>
      </c>
      <c r="AM20" s="35" t="s">
        <v>105</v>
      </c>
    </row>
    <row r="21" spans="1:39" ht="19.899999999999999" customHeight="1" x14ac:dyDescent="0.2">
      <c r="A21" s="39" t="s">
        <v>107</v>
      </c>
      <c r="B21" s="22">
        <v>190</v>
      </c>
      <c r="C21" s="23">
        <v>250</v>
      </c>
      <c r="D21" s="24">
        <v>6.21</v>
      </c>
      <c r="E21" s="25" t="s">
        <v>104</v>
      </c>
      <c r="F21" s="26" t="s">
        <v>105</v>
      </c>
      <c r="G21" s="27">
        <v>6.55</v>
      </c>
      <c r="H21" s="25" t="s">
        <v>104</v>
      </c>
      <c r="I21" s="28" t="s">
        <v>105</v>
      </c>
      <c r="J21" s="24">
        <v>6.59</v>
      </c>
      <c r="K21" s="25" t="s">
        <v>104</v>
      </c>
      <c r="L21" s="26" t="s">
        <v>105</v>
      </c>
      <c r="M21" s="27">
        <v>6.94</v>
      </c>
      <c r="N21" s="25" t="s">
        <v>104</v>
      </c>
      <c r="O21" s="28" t="s">
        <v>105</v>
      </c>
      <c r="P21" s="24">
        <v>6.71</v>
      </c>
      <c r="Q21" s="25" t="s">
        <v>104</v>
      </c>
      <c r="R21" s="26" t="s">
        <v>105</v>
      </c>
      <c r="S21" s="27">
        <v>7.07</v>
      </c>
      <c r="T21" s="25" t="s">
        <v>104</v>
      </c>
      <c r="U21" s="28" t="s">
        <v>105</v>
      </c>
      <c r="V21" s="24">
        <v>6.35</v>
      </c>
      <c r="W21" s="25" t="s">
        <v>104</v>
      </c>
      <c r="X21" s="26" t="s">
        <v>105</v>
      </c>
      <c r="Y21" s="27">
        <v>6.7</v>
      </c>
      <c r="Z21" s="25" t="s">
        <v>104</v>
      </c>
      <c r="AA21" s="28" t="s">
        <v>105</v>
      </c>
      <c r="AB21" s="24">
        <v>6.74</v>
      </c>
      <c r="AC21" s="25" t="s">
        <v>104</v>
      </c>
      <c r="AD21" s="26" t="s">
        <v>105</v>
      </c>
      <c r="AE21" s="27">
        <v>7.11</v>
      </c>
      <c r="AF21" s="25" t="s">
        <v>104</v>
      </c>
      <c r="AG21" s="28" t="s">
        <v>105</v>
      </c>
      <c r="AH21" s="24">
        <v>6.9</v>
      </c>
      <c r="AI21" s="25" t="s">
        <v>104</v>
      </c>
      <c r="AJ21" s="26" t="s">
        <v>105</v>
      </c>
      <c r="AK21" s="27">
        <v>7.27</v>
      </c>
      <c r="AL21" s="25" t="s">
        <v>104</v>
      </c>
      <c r="AM21" s="28" t="s">
        <v>105</v>
      </c>
    </row>
    <row r="22" spans="1:39" ht="19.899999999999999" customHeight="1" x14ac:dyDescent="0.2">
      <c r="A22" s="39" t="s">
        <v>107</v>
      </c>
      <c r="B22" s="29">
        <v>240</v>
      </c>
      <c r="C22" s="30">
        <v>250</v>
      </c>
      <c r="D22" s="31">
        <v>6.06</v>
      </c>
      <c r="E22" s="32" t="s">
        <v>104</v>
      </c>
      <c r="F22" s="33" t="s">
        <v>105</v>
      </c>
      <c r="G22" s="34">
        <v>6.39</v>
      </c>
      <c r="H22" s="32" t="s">
        <v>104</v>
      </c>
      <c r="I22" s="35" t="s">
        <v>105</v>
      </c>
      <c r="J22" s="31">
        <v>6.42</v>
      </c>
      <c r="K22" s="32" t="s">
        <v>104</v>
      </c>
      <c r="L22" s="33" t="s">
        <v>105</v>
      </c>
      <c r="M22" s="34">
        <v>6.77</v>
      </c>
      <c r="N22" s="32" t="s">
        <v>104</v>
      </c>
      <c r="O22" s="35" t="s">
        <v>105</v>
      </c>
      <c r="P22" s="31">
        <v>6.55</v>
      </c>
      <c r="Q22" s="32" t="s">
        <v>104</v>
      </c>
      <c r="R22" s="33" t="s">
        <v>105</v>
      </c>
      <c r="S22" s="34">
        <v>6.9</v>
      </c>
      <c r="T22" s="32" t="s">
        <v>104</v>
      </c>
      <c r="U22" s="35" t="s">
        <v>105</v>
      </c>
      <c r="V22" s="31">
        <v>6.19</v>
      </c>
      <c r="W22" s="32" t="s">
        <v>104</v>
      </c>
      <c r="X22" s="33" t="s">
        <v>105</v>
      </c>
      <c r="Y22" s="34">
        <v>6.52</v>
      </c>
      <c r="Z22" s="32" t="s">
        <v>104</v>
      </c>
      <c r="AA22" s="35" t="s">
        <v>105</v>
      </c>
      <c r="AB22" s="31">
        <v>6.57</v>
      </c>
      <c r="AC22" s="32" t="s">
        <v>104</v>
      </c>
      <c r="AD22" s="33" t="s">
        <v>105</v>
      </c>
      <c r="AE22" s="34">
        <v>6.92</v>
      </c>
      <c r="AF22" s="32" t="s">
        <v>104</v>
      </c>
      <c r="AG22" s="35" t="s">
        <v>105</v>
      </c>
      <c r="AH22" s="31">
        <v>6.72</v>
      </c>
      <c r="AI22" s="32" t="s">
        <v>104</v>
      </c>
      <c r="AJ22" s="33" t="s">
        <v>105</v>
      </c>
      <c r="AK22" s="34">
        <v>7.08</v>
      </c>
      <c r="AL22" s="32" t="s">
        <v>104</v>
      </c>
      <c r="AM22" s="35" t="s">
        <v>105</v>
      </c>
    </row>
    <row r="23" spans="1:39" ht="18.95" customHeight="1" x14ac:dyDescent="0.2">
      <c r="A23" s="40" t="s">
        <v>107</v>
      </c>
      <c r="B23" s="41">
        <v>270</v>
      </c>
      <c r="C23" s="42">
        <v>250</v>
      </c>
      <c r="D23" s="43">
        <v>5.97</v>
      </c>
      <c r="E23" s="44" t="s">
        <v>104</v>
      </c>
      <c r="F23" s="45" t="s">
        <v>105</v>
      </c>
      <c r="G23" s="46">
        <v>6.3</v>
      </c>
      <c r="H23" s="44" t="s">
        <v>104</v>
      </c>
      <c r="I23" s="47" t="s">
        <v>105</v>
      </c>
      <c r="J23" s="43">
        <v>6.33</v>
      </c>
      <c r="K23" s="44" t="s">
        <v>104</v>
      </c>
      <c r="L23" s="45" t="s">
        <v>105</v>
      </c>
      <c r="M23" s="46">
        <v>6.68</v>
      </c>
      <c r="N23" s="44" t="s">
        <v>104</v>
      </c>
      <c r="O23" s="47" t="s">
        <v>105</v>
      </c>
      <c r="P23" s="43">
        <v>6.45</v>
      </c>
      <c r="Q23" s="44" t="s">
        <v>104</v>
      </c>
      <c r="R23" s="45" t="s">
        <v>105</v>
      </c>
      <c r="S23" s="46">
        <v>6.8</v>
      </c>
      <c r="T23" s="44" t="s">
        <v>104</v>
      </c>
      <c r="U23" s="47" t="s">
        <v>105</v>
      </c>
      <c r="V23" s="43">
        <v>6.1</v>
      </c>
      <c r="W23" s="44" t="s">
        <v>104</v>
      </c>
      <c r="X23" s="45" t="s">
        <v>105</v>
      </c>
      <c r="Y23" s="46">
        <v>6.43</v>
      </c>
      <c r="Z23" s="44" t="s">
        <v>104</v>
      </c>
      <c r="AA23" s="47" t="s">
        <v>105</v>
      </c>
      <c r="AB23" s="43">
        <v>6.47</v>
      </c>
      <c r="AC23" s="44" t="s">
        <v>104</v>
      </c>
      <c r="AD23" s="45" t="s">
        <v>105</v>
      </c>
      <c r="AE23" s="46">
        <v>6.82</v>
      </c>
      <c r="AF23" s="44" t="s">
        <v>104</v>
      </c>
      <c r="AG23" s="47" t="s">
        <v>105</v>
      </c>
      <c r="AH23" s="43">
        <v>6.62</v>
      </c>
      <c r="AI23" s="44" t="s">
        <v>104</v>
      </c>
      <c r="AJ23" s="45" t="s">
        <v>105</v>
      </c>
      <c r="AK23" s="46">
        <v>6.97</v>
      </c>
      <c r="AL23" s="44" t="s">
        <v>104</v>
      </c>
      <c r="AM23" s="47" t="s">
        <v>105</v>
      </c>
    </row>
    <row r="24" spans="1:39" ht="3" customHeight="1" x14ac:dyDescent="0.2">
      <c r="A24" s="1" t="e">
        <v>#REF!</v>
      </c>
      <c r="B24" s="36" t="e">
        <v>#REF!</v>
      </c>
      <c r="C24" s="36" t="e">
        <v>#REF!</v>
      </c>
      <c r="D24" s="37" t="e">
        <v>#REF!</v>
      </c>
      <c r="E24" s="36" t="e">
        <v>#REF!</v>
      </c>
      <c r="F24" s="36" t="e">
        <v>#REF!</v>
      </c>
      <c r="G24" s="36" t="e">
        <v>#REF!</v>
      </c>
      <c r="H24" s="36" t="e">
        <v>#REF!</v>
      </c>
      <c r="I24" s="36" t="e">
        <v>#REF!</v>
      </c>
      <c r="J24" s="37" t="e">
        <v>#REF!</v>
      </c>
      <c r="K24" s="36" t="e">
        <v>#REF!</v>
      </c>
      <c r="L24" s="36" t="e">
        <v>#REF!</v>
      </c>
      <c r="M24" s="36" t="e">
        <v>#REF!</v>
      </c>
      <c r="N24" s="36" t="e">
        <v>#REF!</v>
      </c>
      <c r="O24" s="36" t="e">
        <v>#REF!</v>
      </c>
      <c r="P24" s="37" t="e">
        <v>#REF!</v>
      </c>
      <c r="Q24" s="36" t="e">
        <v>#REF!</v>
      </c>
      <c r="R24" s="36" t="e">
        <v>#REF!</v>
      </c>
      <c r="S24" s="36" t="e">
        <v>#REF!</v>
      </c>
      <c r="T24" s="36" t="e">
        <v>#REF!</v>
      </c>
      <c r="U24" s="36" t="e">
        <v>#REF!</v>
      </c>
      <c r="V24" s="37" t="e">
        <v>#REF!</v>
      </c>
      <c r="W24" s="36" t="e">
        <v>#REF!</v>
      </c>
      <c r="X24" s="36" t="e">
        <v>#REF!</v>
      </c>
      <c r="Y24" s="36" t="e">
        <v>#REF!</v>
      </c>
      <c r="Z24" s="36" t="e">
        <v>#REF!</v>
      </c>
      <c r="AA24" s="36" t="e">
        <v>#REF!</v>
      </c>
      <c r="AB24" s="37" t="e">
        <v>#REF!</v>
      </c>
      <c r="AC24" s="36" t="e">
        <v>#REF!</v>
      </c>
      <c r="AD24" s="36" t="e">
        <v>#REF!</v>
      </c>
      <c r="AE24" s="36" t="e">
        <v>#REF!</v>
      </c>
      <c r="AF24" s="36" t="e">
        <v>#REF!</v>
      </c>
      <c r="AG24" s="36" t="e">
        <v>#REF!</v>
      </c>
      <c r="AH24" s="37" t="e">
        <v>#REF!</v>
      </c>
      <c r="AI24" s="36" t="e">
        <v>#REF!</v>
      </c>
      <c r="AJ24" s="36" t="e">
        <v>#REF!</v>
      </c>
      <c r="AK24" s="36" t="e">
        <v>#REF!</v>
      </c>
      <c r="AL24" s="36" t="e">
        <v>#REF!</v>
      </c>
      <c r="AM24" s="36" t="e">
        <v>#REF!</v>
      </c>
    </row>
    <row r="25" spans="1:39" ht="19.899999999999999" customHeight="1" x14ac:dyDescent="0.2">
      <c r="A25" s="38" t="s">
        <v>108</v>
      </c>
      <c r="B25" s="15">
        <v>70</v>
      </c>
      <c r="C25" s="16">
        <v>150</v>
      </c>
      <c r="D25" s="17">
        <v>6.89</v>
      </c>
      <c r="E25" s="18" t="s">
        <v>104</v>
      </c>
      <c r="F25" s="19" t="s">
        <v>105</v>
      </c>
      <c r="G25" s="20">
        <v>7.26</v>
      </c>
      <c r="H25" s="18" t="s">
        <v>104</v>
      </c>
      <c r="I25" s="21" t="s">
        <v>105</v>
      </c>
      <c r="J25" s="17">
        <v>7.34</v>
      </c>
      <c r="K25" s="18" t="s">
        <v>104</v>
      </c>
      <c r="L25" s="19" t="s">
        <v>105</v>
      </c>
      <c r="M25" s="20">
        <v>7.59</v>
      </c>
      <c r="N25" s="18" t="s">
        <v>104</v>
      </c>
      <c r="O25" s="21" t="s">
        <v>106</v>
      </c>
      <c r="P25" s="17">
        <v>7.48</v>
      </c>
      <c r="Q25" s="18" t="s">
        <v>104</v>
      </c>
      <c r="R25" s="19" t="s">
        <v>105</v>
      </c>
      <c r="S25" s="20">
        <v>7.57</v>
      </c>
      <c r="T25" s="18" t="s">
        <v>104</v>
      </c>
      <c r="U25" s="21" t="s">
        <v>106</v>
      </c>
      <c r="V25" s="17">
        <v>7.14</v>
      </c>
      <c r="W25" s="18" t="s">
        <v>104</v>
      </c>
      <c r="X25" s="19" t="s">
        <v>105</v>
      </c>
      <c r="Y25" s="20">
        <v>7.53</v>
      </c>
      <c r="Z25" s="18" t="s">
        <v>104</v>
      </c>
      <c r="AA25" s="21" t="s">
        <v>105</v>
      </c>
      <c r="AB25" s="17">
        <v>7.58</v>
      </c>
      <c r="AC25" s="18" t="s">
        <v>104</v>
      </c>
      <c r="AD25" s="19" t="s">
        <v>105</v>
      </c>
      <c r="AE25" s="20">
        <v>7.67</v>
      </c>
      <c r="AF25" s="18" t="s">
        <v>104</v>
      </c>
      <c r="AG25" s="21" t="s">
        <v>106</v>
      </c>
      <c r="AH25" s="17">
        <v>7.65</v>
      </c>
      <c r="AI25" s="18" t="s">
        <v>104</v>
      </c>
      <c r="AJ25" s="19" t="s">
        <v>106</v>
      </c>
      <c r="AK25" s="20">
        <v>7.65</v>
      </c>
      <c r="AL25" s="18" t="s">
        <v>104</v>
      </c>
      <c r="AM25" s="21" t="s">
        <v>106</v>
      </c>
    </row>
    <row r="26" spans="1:39" ht="19.899999999999999" customHeight="1" x14ac:dyDescent="0.2">
      <c r="A26" s="39" t="s">
        <v>108</v>
      </c>
      <c r="B26" s="22">
        <v>190</v>
      </c>
      <c r="C26" s="23">
        <v>150</v>
      </c>
      <c r="D26" s="24">
        <v>6.4</v>
      </c>
      <c r="E26" s="25" t="s">
        <v>104</v>
      </c>
      <c r="F26" s="26" t="s">
        <v>105</v>
      </c>
      <c r="G26" s="27">
        <v>6.75</v>
      </c>
      <c r="H26" s="25" t="s">
        <v>104</v>
      </c>
      <c r="I26" s="28" t="s">
        <v>105</v>
      </c>
      <c r="J26" s="24">
        <v>6.84</v>
      </c>
      <c r="K26" s="25" t="s">
        <v>104</v>
      </c>
      <c r="L26" s="26" t="s">
        <v>105</v>
      </c>
      <c r="M26" s="27">
        <v>7.21</v>
      </c>
      <c r="N26" s="25" t="s">
        <v>104</v>
      </c>
      <c r="O26" s="28" t="s">
        <v>105</v>
      </c>
      <c r="P26" s="24">
        <v>6.99</v>
      </c>
      <c r="Q26" s="25" t="s">
        <v>104</v>
      </c>
      <c r="R26" s="26" t="s">
        <v>105</v>
      </c>
      <c r="S26" s="27">
        <v>7.37</v>
      </c>
      <c r="T26" s="25" t="s">
        <v>104</v>
      </c>
      <c r="U26" s="28" t="s">
        <v>105</v>
      </c>
      <c r="V26" s="24">
        <v>6.6</v>
      </c>
      <c r="W26" s="25" t="s">
        <v>104</v>
      </c>
      <c r="X26" s="26" t="s">
        <v>105</v>
      </c>
      <c r="Y26" s="27">
        <v>6.95</v>
      </c>
      <c r="Z26" s="25" t="s">
        <v>104</v>
      </c>
      <c r="AA26" s="28" t="s">
        <v>105</v>
      </c>
      <c r="AB26" s="24">
        <v>7.06</v>
      </c>
      <c r="AC26" s="25" t="s">
        <v>104</v>
      </c>
      <c r="AD26" s="26" t="s">
        <v>105</v>
      </c>
      <c r="AE26" s="27">
        <v>7.44</v>
      </c>
      <c r="AF26" s="25" t="s">
        <v>104</v>
      </c>
      <c r="AG26" s="28" t="s">
        <v>105</v>
      </c>
      <c r="AH26" s="24">
        <v>7.23</v>
      </c>
      <c r="AI26" s="25" t="s">
        <v>104</v>
      </c>
      <c r="AJ26" s="26" t="s">
        <v>105</v>
      </c>
      <c r="AK26" s="27">
        <v>7.62</v>
      </c>
      <c r="AL26" s="25" t="s">
        <v>104</v>
      </c>
      <c r="AM26" s="28" t="s">
        <v>105</v>
      </c>
    </row>
    <row r="27" spans="1:39" ht="19.899999999999999" customHeight="1" x14ac:dyDescent="0.2">
      <c r="A27" s="39" t="s">
        <v>108</v>
      </c>
      <c r="B27" s="29">
        <v>240</v>
      </c>
      <c r="C27" s="30">
        <v>150</v>
      </c>
      <c r="D27" s="31">
        <v>6.23</v>
      </c>
      <c r="E27" s="32" t="s">
        <v>104</v>
      </c>
      <c r="F27" s="33" t="s">
        <v>105</v>
      </c>
      <c r="G27" s="34">
        <v>6.57</v>
      </c>
      <c r="H27" s="32" t="s">
        <v>104</v>
      </c>
      <c r="I27" s="35" t="s">
        <v>105</v>
      </c>
      <c r="J27" s="31">
        <v>6.66</v>
      </c>
      <c r="K27" s="32" t="s">
        <v>104</v>
      </c>
      <c r="L27" s="33" t="s">
        <v>105</v>
      </c>
      <c r="M27" s="34">
        <v>7.02</v>
      </c>
      <c r="N27" s="32" t="s">
        <v>104</v>
      </c>
      <c r="O27" s="35" t="s">
        <v>105</v>
      </c>
      <c r="P27" s="31">
        <v>6.8</v>
      </c>
      <c r="Q27" s="32" t="s">
        <v>104</v>
      </c>
      <c r="R27" s="33" t="s">
        <v>105</v>
      </c>
      <c r="S27" s="34">
        <v>7.17</v>
      </c>
      <c r="T27" s="32" t="s">
        <v>104</v>
      </c>
      <c r="U27" s="35" t="s">
        <v>105</v>
      </c>
      <c r="V27" s="31">
        <v>6.4</v>
      </c>
      <c r="W27" s="32" t="s">
        <v>104</v>
      </c>
      <c r="X27" s="33" t="s">
        <v>105</v>
      </c>
      <c r="Y27" s="34">
        <v>6.75</v>
      </c>
      <c r="Z27" s="32" t="s">
        <v>104</v>
      </c>
      <c r="AA27" s="35" t="s">
        <v>105</v>
      </c>
      <c r="AB27" s="31">
        <v>6.85</v>
      </c>
      <c r="AC27" s="32" t="s">
        <v>104</v>
      </c>
      <c r="AD27" s="33" t="s">
        <v>105</v>
      </c>
      <c r="AE27" s="34">
        <v>7.22</v>
      </c>
      <c r="AF27" s="32" t="s">
        <v>104</v>
      </c>
      <c r="AG27" s="35" t="s">
        <v>105</v>
      </c>
      <c r="AH27" s="31">
        <v>7.03</v>
      </c>
      <c r="AI27" s="32" t="s">
        <v>104</v>
      </c>
      <c r="AJ27" s="33" t="s">
        <v>105</v>
      </c>
      <c r="AK27" s="34">
        <v>7.41</v>
      </c>
      <c r="AL27" s="32" t="s">
        <v>104</v>
      </c>
      <c r="AM27" s="35" t="s">
        <v>105</v>
      </c>
    </row>
    <row r="28" spans="1:39" ht="19.899999999999999" customHeight="1" x14ac:dyDescent="0.2">
      <c r="A28" s="39" t="s">
        <v>108</v>
      </c>
      <c r="B28" s="22">
        <v>270</v>
      </c>
      <c r="C28" s="23">
        <v>150</v>
      </c>
      <c r="D28" s="24">
        <v>6.13</v>
      </c>
      <c r="E28" s="25" t="s">
        <v>104</v>
      </c>
      <c r="F28" s="26" t="s">
        <v>105</v>
      </c>
      <c r="G28" s="27">
        <v>6.46</v>
      </c>
      <c r="H28" s="25" t="s">
        <v>104</v>
      </c>
      <c r="I28" s="28" t="s">
        <v>105</v>
      </c>
      <c r="J28" s="24">
        <v>6.55</v>
      </c>
      <c r="K28" s="25" t="s">
        <v>104</v>
      </c>
      <c r="L28" s="26" t="s">
        <v>105</v>
      </c>
      <c r="M28" s="27">
        <v>6.91</v>
      </c>
      <c r="N28" s="25" t="s">
        <v>104</v>
      </c>
      <c r="O28" s="28" t="s">
        <v>105</v>
      </c>
      <c r="P28" s="24">
        <v>6.69</v>
      </c>
      <c r="Q28" s="25" t="s">
        <v>104</v>
      </c>
      <c r="R28" s="26" t="s">
        <v>105</v>
      </c>
      <c r="S28" s="27">
        <v>7.05</v>
      </c>
      <c r="T28" s="25" t="s">
        <v>104</v>
      </c>
      <c r="U28" s="28" t="s">
        <v>105</v>
      </c>
      <c r="V28" s="24">
        <v>6.29</v>
      </c>
      <c r="W28" s="25" t="s">
        <v>104</v>
      </c>
      <c r="X28" s="26" t="s">
        <v>105</v>
      </c>
      <c r="Y28" s="27">
        <v>6.63</v>
      </c>
      <c r="Z28" s="25" t="s">
        <v>104</v>
      </c>
      <c r="AA28" s="28" t="s">
        <v>105</v>
      </c>
      <c r="AB28" s="24">
        <v>6.73</v>
      </c>
      <c r="AC28" s="25" t="s">
        <v>104</v>
      </c>
      <c r="AD28" s="26" t="s">
        <v>105</v>
      </c>
      <c r="AE28" s="27">
        <v>7.1</v>
      </c>
      <c r="AF28" s="25" t="s">
        <v>104</v>
      </c>
      <c r="AG28" s="28" t="s">
        <v>105</v>
      </c>
      <c r="AH28" s="24">
        <v>6.91</v>
      </c>
      <c r="AI28" s="25" t="s">
        <v>104</v>
      </c>
      <c r="AJ28" s="26" t="s">
        <v>105</v>
      </c>
      <c r="AK28" s="27">
        <v>7.28</v>
      </c>
      <c r="AL28" s="25" t="s">
        <v>104</v>
      </c>
      <c r="AM28" s="28" t="s">
        <v>105</v>
      </c>
    </row>
    <row r="29" spans="1:39" ht="19.899999999999999" customHeight="1" x14ac:dyDescent="0.2">
      <c r="A29" s="39" t="s">
        <v>108</v>
      </c>
      <c r="B29" s="29">
        <v>70</v>
      </c>
      <c r="C29" s="30">
        <v>250</v>
      </c>
      <c r="D29" s="31">
        <v>6.55</v>
      </c>
      <c r="E29" s="32" t="s">
        <v>104</v>
      </c>
      <c r="F29" s="33" t="s">
        <v>105</v>
      </c>
      <c r="G29" s="34">
        <v>6.91</v>
      </c>
      <c r="H29" s="32" t="s">
        <v>104</v>
      </c>
      <c r="I29" s="35" t="s">
        <v>105</v>
      </c>
      <c r="J29" s="31">
        <v>6.95</v>
      </c>
      <c r="K29" s="32" t="s">
        <v>104</v>
      </c>
      <c r="L29" s="33" t="s">
        <v>105</v>
      </c>
      <c r="M29" s="34">
        <v>7.32</v>
      </c>
      <c r="N29" s="32" t="s">
        <v>104</v>
      </c>
      <c r="O29" s="35" t="s">
        <v>105</v>
      </c>
      <c r="P29" s="31">
        <v>7.08</v>
      </c>
      <c r="Q29" s="32" t="s">
        <v>104</v>
      </c>
      <c r="R29" s="33" t="s">
        <v>105</v>
      </c>
      <c r="S29" s="34">
        <v>7.46</v>
      </c>
      <c r="T29" s="32" t="s">
        <v>104</v>
      </c>
      <c r="U29" s="35" t="s">
        <v>105</v>
      </c>
      <c r="V29" s="31">
        <v>6.73</v>
      </c>
      <c r="W29" s="32" t="s">
        <v>104</v>
      </c>
      <c r="X29" s="33" t="s">
        <v>105</v>
      </c>
      <c r="Y29" s="34">
        <v>7.1</v>
      </c>
      <c r="Z29" s="32" t="s">
        <v>104</v>
      </c>
      <c r="AA29" s="35" t="s">
        <v>105</v>
      </c>
      <c r="AB29" s="31">
        <v>7.15</v>
      </c>
      <c r="AC29" s="32" t="s">
        <v>104</v>
      </c>
      <c r="AD29" s="33" t="s">
        <v>105</v>
      </c>
      <c r="AE29" s="34">
        <v>7.53</v>
      </c>
      <c r="AF29" s="32" t="s">
        <v>104</v>
      </c>
      <c r="AG29" s="35" t="s">
        <v>105</v>
      </c>
      <c r="AH29" s="31">
        <v>7.31</v>
      </c>
      <c r="AI29" s="32" t="s">
        <v>104</v>
      </c>
      <c r="AJ29" s="33" t="s">
        <v>105</v>
      </c>
      <c r="AK29" s="34">
        <v>7.65</v>
      </c>
      <c r="AL29" s="32" t="s">
        <v>104</v>
      </c>
      <c r="AM29" s="35" t="s">
        <v>106</v>
      </c>
    </row>
    <row r="30" spans="1:39" ht="19.899999999999999" customHeight="1" x14ac:dyDescent="0.2">
      <c r="A30" s="39" t="s">
        <v>108</v>
      </c>
      <c r="B30" s="22">
        <v>190</v>
      </c>
      <c r="C30" s="23">
        <v>250</v>
      </c>
      <c r="D30" s="24">
        <v>6.18</v>
      </c>
      <c r="E30" s="25" t="s">
        <v>104</v>
      </c>
      <c r="F30" s="26" t="s">
        <v>105</v>
      </c>
      <c r="G30" s="27">
        <v>6.51</v>
      </c>
      <c r="H30" s="25" t="s">
        <v>104</v>
      </c>
      <c r="I30" s="28" t="s">
        <v>105</v>
      </c>
      <c r="J30" s="24">
        <v>6.55</v>
      </c>
      <c r="K30" s="25" t="s">
        <v>104</v>
      </c>
      <c r="L30" s="26" t="s">
        <v>105</v>
      </c>
      <c r="M30" s="27">
        <v>6.91</v>
      </c>
      <c r="N30" s="25" t="s">
        <v>104</v>
      </c>
      <c r="O30" s="28" t="s">
        <v>105</v>
      </c>
      <c r="P30" s="24">
        <v>6.67</v>
      </c>
      <c r="Q30" s="25" t="s">
        <v>104</v>
      </c>
      <c r="R30" s="26" t="s">
        <v>105</v>
      </c>
      <c r="S30" s="27">
        <v>7.04</v>
      </c>
      <c r="T30" s="25" t="s">
        <v>104</v>
      </c>
      <c r="U30" s="28" t="s">
        <v>105</v>
      </c>
      <c r="V30" s="24">
        <v>6.33</v>
      </c>
      <c r="W30" s="25" t="s">
        <v>104</v>
      </c>
      <c r="X30" s="26" t="s">
        <v>105</v>
      </c>
      <c r="Y30" s="27">
        <v>6.67</v>
      </c>
      <c r="Z30" s="25" t="s">
        <v>104</v>
      </c>
      <c r="AA30" s="28" t="s">
        <v>105</v>
      </c>
      <c r="AB30" s="24">
        <v>6.71</v>
      </c>
      <c r="AC30" s="25" t="s">
        <v>104</v>
      </c>
      <c r="AD30" s="26" t="s">
        <v>105</v>
      </c>
      <c r="AE30" s="27">
        <v>7.08</v>
      </c>
      <c r="AF30" s="25" t="s">
        <v>104</v>
      </c>
      <c r="AG30" s="28" t="s">
        <v>105</v>
      </c>
      <c r="AH30" s="24">
        <v>6.87</v>
      </c>
      <c r="AI30" s="25" t="s">
        <v>104</v>
      </c>
      <c r="AJ30" s="26" t="s">
        <v>105</v>
      </c>
      <c r="AK30" s="27">
        <v>7.24</v>
      </c>
      <c r="AL30" s="25" t="s">
        <v>104</v>
      </c>
      <c r="AM30" s="28" t="s">
        <v>105</v>
      </c>
    </row>
    <row r="31" spans="1:39" ht="19.899999999999999" customHeight="1" x14ac:dyDescent="0.2">
      <c r="A31" s="39" t="s">
        <v>108</v>
      </c>
      <c r="B31" s="29">
        <v>240</v>
      </c>
      <c r="C31" s="30">
        <v>250</v>
      </c>
      <c r="D31" s="31">
        <v>6.04</v>
      </c>
      <c r="E31" s="32" t="s">
        <v>104</v>
      </c>
      <c r="F31" s="33" t="s">
        <v>105</v>
      </c>
      <c r="G31" s="34">
        <v>6.37</v>
      </c>
      <c r="H31" s="32" t="s">
        <v>104</v>
      </c>
      <c r="I31" s="35" t="s">
        <v>105</v>
      </c>
      <c r="J31" s="31">
        <v>6.4</v>
      </c>
      <c r="K31" s="32" t="s">
        <v>104</v>
      </c>
      <c r="L31" s="33" t="s">
        <v>105</v>
      </c>
      <c r="M31" s="34">
        <v>6.75</v>
      </c>
      <c r="N31" s="32" t="s">
        <v>104</v>
      </c>
      <c r="O31" s="35" t="s">
        <v>105</v>
      </c>
      <c r="P31" s="31">
        <v>6.53</v>
      </c>
      <c r="Q31" s="32" t="s">
        <v>104</v>
      </c>
      <c r="R31" s="33" t="s">
        <v>105</v>
      </c>
      <c r="S31" s="34">
        <v>6.88</v>
      </c>
      <c r="T31" s="32" t="s">
        <v>104</v>
      </c>
      <c r="U31" s="35" t="s">
        <v>105</v>
      </c>
      <c r="V31" s="31">
        <v>6.18</v>
      </c>
      <c r="W31" s="32" t="s">
        <v>104</v>
      </c>
      <c r="X31" s="33" t="s">
        <v>105</v>
      </c>
      <c r="Y31" s="34">
        <v>6.51</v>
      </c>
      <c r="Z31" s="32" t="s">
        <v>104</v>
      </c>
      <c r="AA31" s="35" t="s">
        <v>105</v>
      </c>
      <c r="AB31" s="31">
        <v>6.55</v>
      </c>
      <c r="AC31" s="32" t="s">
        <v>104</v>
      </c>
      <c r="AD31" s="33" t="s">
        <v>105</v>
      </c>
      <c r="AE31" s="34">
        <v>6.91</v>
      </c>
      <c r="AF31" s="32" t="s">
        <v>104</v>
      </c>
      <c r="AG31" s="35" t="s">
        <v>105</v>
      </c>
      <c r="AH31" s="31">
        <v>6.7</v>
      </c>
      <c r="AI31" s="32" t="s">
        <v>104</v>
      </c>
      <c r="AJ31" s="33" t="s">
        <v>105</v>
      </c>
      <c r="AK31" s="34">
        <v>7.07</v>
      </c>
      <c r="AL31" s="32" t="s">
        <v>104</v>
      </c>
      <c r="AM31" s="35" t="s">
        <v>105</v>
      </c>
    </row>
    <row r="32" spans="1:39" ht="19.899999999999999" customHeight="1" x14ac:dyDescent="0.2">
      <c r="A32" s="40" t="s">
        <v>108</v>
      </c>
      <c r="B32" s="41">
        <v>270</v>
      </c>
      <c r="C32" s="42">
        <v>250</v>
      </c>
      <c r="D32" s="43">
        <v>5.96</v>
      </c>
      <c r="E32" s="44" t="s">
        <v>104</v>
      </c>
      <c r="F32" s="45" t="s">
        <v>105</v>
      </c>
      <c r="G32" s="46">
        <v>6.29</v>
      </c>
      <c r="H32" s="44" t="s">
        <v>104</v>
      </c>
      <c r="I32" s="47" t="s">
        <v>105</v>
      </c>
      <c r="J32" s="43">
        <v>6.32</v>
      </c>
      <c r="K32" s="44" t="s">
        <v>104</v>
      </c>
      <c r="L32" s="45" t="s">
        <v>105</v>
      </c>
      <c r="M32" s="46">
        <v>6.66</v>
      </c>
      <c r="N32" s="44" t="s">
        <v>104</v>
      </c>
      <c r="O32" s="47" t="s">
        <v>105</v>
      </c>
      <c r="P32" s="43">
        <v>6.44</v>
      </c>
      <c r="Q32" s="44" t="s">
        <v>104</v>
      </c>
      <c r="R32" s="45" t="s">
        <v>105</v>
      </c>
      <c r="S32" s="46">
        <v>6.79</v>
      </c>
      <c r="T32" s="44" t="s">
        <v>104</v>
      </c>
      <c r="U32" s="47" t="s">
        <v>105</v>
      </c>
      <c r="V32" s="43">
        <v>6.09</v>
      </c>
      <c r="W32" s="44" t="s">
        <v>104</v>
      </c>
      <c r="X32" s="45" t="s">
        <v>105</v>
      </c>
      <c r="Y32" s="46">
        <v>6.42</v>
      </c>
      <c r="Z32" s="44" t="s">
        <v>104</v>
      </c>
      <c r="AA32" s="47" t="s">
        <v>105</v>
      </c>
      <c r="AB32" s="43">
        <v>6.46</v>
      </c>
      <c r="AC32" s="44" t="s">
        <v>104</v>
      </c>
      <c r="AD32" s="45" t="s">
        <v>105</v>
      </c>
      <c r="AE32" s="46">
        <v>6.81</v>
      </c>
      <c r="AF32" s="44" t="s">
        <v>104</v>
      </c>
      <c r="AG32" s="47" t="s">
        <v>105</v>
      </c>
      <c r="AH32" s="43">
        <v>6.61</v>
      </c>
      <c r="AI32" s="44" t="s">
        <v>104</v>
      </c>
      <c r="AJ32" s="45" t="s">
        <v>105</v>
      </c>
      <c r="AK32" s="46">
        <v>6.97</v>
      </c>
      <c r="AL32" s="44" t="s">
        <v>104</v>
      </c>
      <c r="AM32" s="47" t="s">
        <v>105</v>
      </c>
    </row>
    <row r="33" spans="1:39" ht="3" customHeight="1" x14ac:dyDescent="0.2">
      <c r="A33" s="1" t="e">
        <v>#REF!</v>
      </c>
      <c r="B33" s="36" t="e">
        <v>#REF!</v>
      </c>
      <c r="C33" s="36" t="e">
        <v>#REF!</v>
      </c>
      <c r="D33" s="37" t="e">
        <v>#REF!</v>
      </c>
      <c r="E33" s="36" t="e">
        <v>#REF!</v>
      </c>
      <c r="F33" s="36" t="e">
        <v>#REF!</v>
      </c>
      <c r="G33" s="36" t="e">
        <v>#REF!</v>
      </c>
      <c r="H33" s="36" t="e">
        <v>#REF!</v>
      </c>
      <c r="I33" s="36" t="e">
        <v>#REF!</v>
      </c>
      <c r="J33" s="37" t="e">
        <v>#REF!</v>
      </c>
      <c r="K33" s="36" t="e">
        <v>#REF!</v>
      </c>
      <c r="L33" s="36" t="e">
        <v>#REF!</v>
      </c>
      <c r="M33" s="36" t="e">
        <v>#REF!</v>
      </c>
      <c r="N33" s="36" t="e">
        <v>#REF!</v>
      </c>
      <c r="O33" s="36" t="e">
        <v>#REF!</v>
      </c>
      <c r="P33" s="37" t="e">
        <v>#REF!</v>
      </c>
      <c r="Q33" s="36" t="e">
        <v>#REF!</v>
      </c>
      <c r="R33" s="36" t="e">
        <v>#REF!</v>
      </c>
      <c r="S33" s="36" t="e">
        <v>#REF!</v>
      </c>
      <c r="T33" s="36" t="e">
        <v>#REF!</v>
      </c>
      <c r="U33" s="36" t="e">
        <v>#REF!</v>
      </c>
      <c r="V33" s="37" t="e">
        <v>#REF!</v>
      </c>
      <c r="W33" s="36" t="e">
        <v>#REF!</v>
      </c>
      <c r="X33" s="36" t="e">
        <v>#REF!</v>
      </c>
      <c r="Y33" s="36" t="e">
        <v>#REF!</v>
      </c>
      <c r="Z33" s="36" t="e">
        <v>#REF!</v>
      </c>
      <c r="AA33" s="36" t="e">
        <v>#REF!</v>
      </c>
      <c r="AB33" s="37" t="e">
        <v>#REF!</v>
      </c>
      <c r="AC33" s="36" t="e">
        <v>#REF!</v>
      </c>
      <c r="AD33" s="36" t="e">
        <v>#REF!</v>
      </c>
      <c r="AE33" s="36" t="e">
        <v>#REF!</v>
      </c>
      <c r="AF33" s="36" t="e">
        <v>#REF!</v>
      </c>
      <c r="AG33" s="36" t="e">
        <v>#REF!</v>
      </c>
      <c r="AH33" s="37" t="e">
        <v>#REF!</v>
      </c>
      <c r="AI33" s="36" t="e">
        <v>#REF!</v>
      </c>
      <c r="AJ33" s="36" t="e">
        <v>#REF!</v>
      </c>
      <c r="AK33" s="36" t="e">
        <v>#REF!</v>
      </c>
      <c r="AL33" s="36" t="e">
        <v>#REF!</v>
      </c>
      <c r="AM33" s="36" t="e">
        <v>#REF!</v>
      </c>
    </row>
    <row r="34" spans="1:39" ht="19.899999999999999" customHeight="1" x14ac:dyDescent="0.2">
      <c r="A34" s="38" t="s">
        <v>109</v>
      </c>
      <c r="B34" s="15">
        <v>70</v>
      </c>
      <c r="C34" s="16">
        <v>150</v>
      </c>
      <c r="D34" s="17">
        <v>6.71</v>
      </c>
      <c r="E34" s="18" t="s">
        <v>104</v>
      </c>
      <c r="F34" s="19" t="s">
        <v>105</v>
      </c>
      <c r="G34" s="20">
        <v>7.08</v>
      </c>
      <c r="H34" s="18" t="s">
        <v>104</v>
      </c>
      <c r="I34" s="21" t="s">
        <v>105</v>
      </c>
      <c r="J34" s="17">
        <v>7.17</v>
      </c>
      <c r="K34" s="18" t="s">
        <v>104</v>
      </c>
      <c r="L34" s="19" t="s">
        <v>105</v>
      </c>
      <c r="M34" s="20">
        <v>7.4</v>
      </c>
      <c r="N34" s="18" t="s">
        <v>104</v>
      </c>
      <c r="O34" s="21" t="s">
        <v>106</v>
      </c>
      <c r="P34" s="17">
        <v>7.33</v>
      </c>
      <c r="Q34" s="18" t="s">
        <v>104</v>
      </c>
      <c r="R34" s="19" t="s">
        <v>105</v>
      </c>
      <c r="S34" s="20">
        <v>7.37</v>
      </c>
      <c r="T34" s="18" t="s">
        <v>104</v>
      </c>
      <c r="U34" s="21" t="s">
        <v>106</v>
      </c>
      <c r="V34" s="17">
        <v>6.97</v>
      </c>
      <c r="W34" s="18" t="s">
        <v>104</v>
      </c>
      <c r="X34" s="19" t="s">
        <v>105</v>
      </c>
      <c r="Y34" s="20">
        <v>7.35</v>
      </c>
      <c r="Z34" s="18" t="s">
        <v>104</v>
      </c>
      <c r="AA34" s="21" t="s">
        <v>105</v>
      </c>
      <c r="AB34" s="17">
        <v>7.46</v>
      </c>
      <c r="AC34" s="18" t="s">
        <v>104</v>
      </c>
      <c r="AD34" s="19" t="s">
        <v>105</v>
      </c>
      <c r="AE34" s="20">
        <v>7.47</v>
      </c>
      <c r="AF34" s="18" t="s">
        <v>104</v>
      </c>
      <c r="AG34" s="21" t="s">
        <v>106</v>
      </c>
      <c r="AH34" s="17">
        <v>7.45</v>
      </c>
      <c r="AI34" s="18" t="s">
        <v>104</v>
      </c>
      <c r="AJ34" s="19" t="s">
        <v>106</v>
      </c>
      <c r="AK34" s="20">
        <v>7.45</v>
      </c>
      <c r="AL34" s="18" t="s">
        <v>104</v>
      </c>
      <c r="AM34" s="21" t="s">
        <v>106</v>
      </c>
    </row>
    <row r="35" spans="1:39" ht="19.899999999999999" customHeight="1" x14ac:dyDescent="0.2">
      <c r="A35" s="39" t="s">
        <v>109</v>
      </c>
      <c r="B35" s="22">
        <v>190</v>
      </c>
      <c r="C35" s="23">
        <v>150</v>
      </c>
      <c r="D35" s="24">
        <v>6.29</v>
      </c>
      <c r="E35" s="25" t="s">
        <v>104</v>
      </c>
      <c r="F35" s="26" t="s">
        <v>105</v>
      </c>
      <c r="G35" s="27">
        <v>6.63</v>
      </c>
      <c r="H35" s="25" t="s">
        <v>104</v>
      </c>
      <c r="I35" s="28" t="s">
        <v>105</v>
      </c>
      <c r="J35" s="24">
        <v>6.72</v>
      </c>
      <c r="K35" s="25" t="s">
        <v>104</v>
      </c>
      <c r="L35" s="26" t="s">
        <v>105</v>
      </c>
      <c r="M35" s="27">
        <v>7.09</v>
      </c>
      <c r="N35" s="25" t="s">
        <v>104</v>
      </c>
      <c r="O35" s="28" t="s">
        <v>105</v>
      </c>
      <c r="P35" s="24">
        <v>6.87</v>
      </c>
      <c r="Q35" s="25" t="s">
        <v>104</v>
      </c>
      <c r="R35" s="26" t="s">
        <v>105</v>
      </c>
      <c r="S35" s="27">
        <v>7.24</v>
      </c>
      <c r="T35" s="25" t="s">
        <v>104</v>
      </c>
      <c r="U35" s="28" t="s">
        <v>105</v>
      </c>
      <c r="V35" s="24">
        <v>6.49</v>
      </c>
      <c r="W35" s="25" t="s">
        <v>104</v>
      </c>
      <c r="X35" s="26" t="s">
        <v>105</v>
      </c>
      <c r="Y35" s="27">
        <v>6.84</v>
      </c>
      <c r="Z35" s="25" t="s">
        <v>104</v>
      </c>
      <c r="AA35" s="28" t="s">
        <v>105</v>
      </c>
      <c r="AB35" s="24">
        <v>6.95</v>
      </c>
      <c r="AC35" s="25" t="s">
        <v>104</v>
      </c>
      <c r="AD35" s="26" t="s">
        <v>105</v>
      </c>
      <c r="AE35" s="27">
        <v>7.32</v>
      </c>
      <c r="AF35" s="25" t="s">
        <v>104</v>
      </c>
      <c r="AG35" s="28" t="s">
        <v>105</v>
      </c>
      <c r="AH35" s="24">
        <v>7.13</v>
      </c>
      <c r="AI35" s="25" t="s">
        <v>104</v>
      </c>
      <c r="AJ35" s="26" t="s">
        <v>105</v>
      </c>
      <c r="AK35" s="27">
        <v>7.45</v>
      </c>
      <c r="AL35" s="25" t="s">
        <v>104</v>
      </c>
      <c r="AM35" s="28" t="s">
        <v>106</v>
      </c>
    </row>
    <row r="36" spans="1:39" ht="19.899999999999999" customHeight="1" x14ac:dyDescent="0.2">
      <c r="A36" s="39" t="s">
        <v>109</v>
      </c>
      <c r="B36" s="29">
        <v>240</v>
      </c>
      <c r="C36" s="30">
        <v>150</v>
      </c>
      <c r="D36" s="31">
        <v>6.14</v>
      </c>
      <c r="E36" s="32" t="s">
        <v>104</v>
      </c>
      <c r="F36" s="33" t="s">
        <v>105</v>
      </c>
      <c r="G36" s="34">
        <v>6.47</v>
      </c>
      <c r="H36" s="32" t="s">
        <v>104</v>
      </c>
      <c r="I36" s="35" t="s">
        <v>105</v>
      </c>
      <c r="J36" s="31">
        <v>6.56</v>
      </c>
      <c r="K36" s="32" t="s">
        <v>104</v>
      </c>
      <c r="L36" s="33" t="s">
        <v>105</v>
      </c>
      <c r="M36" s="34">
        <v>6.91</v>
      </c>
      <c r="N36" s="32" t="s">
        <v>104</v>
      </c>
      <c r="O36" s="35" t="s">
        <v>105</v>
      </c>
      <c r="P36" s="31">
        <v>6.7</v>
      </c>
      <c r="Q36" s="32" t="s">
        <v>104</v>
      </c>
      <c r="R36" s="33" t="s">
        <v>105</v>
      </c>
      <c r="S36" s="34">
        <v>7.06</v>
      </c>
      <c r="T36" s="32" t="s">
        <v>104</v>
      </c>
      <c r="U36" s="35" t="s">
        <v>105</v>
      </c>
      <c r="V36" s="31">
        <v>6.32</v>
      </c>
      <c r="W36" s="32" t="s">
        <v>104</v>
      </c>
      <c r="X36" s="33" t="s">
        <v>105</v>
      </c>
      <c r="Y36" s="34">
        <v>6.66</v>
      </c>
      <c r="Z36" s="32" t="s">
        <v>104</v>
      </c>
      <c r="AA36" s="35" t="s">
        <v>105</v>
      </c>
      <c r="AB36" s="31">
        <v>6.76</v>
      </c>
      <c r="AC36" s="32" t="s">
        <v>104</v>
      </c>
      <c r="AD36" s="33" t="s">
        <v>105</v>
      </c>
      <c r="AE36" s="34">
        <v>7.13</v>
      </c>
      <c r="AF36" s="32" t="s">
        <v>104</v>
      </c>
      <c r="AG36" s="35" t="s">
        <v>105</v>
      </c>
      <c r="AH36" s="31">
        <v>6.94</v>
      </c>
      <c r="AI36" s="32" t="s">
        <v>104</v>
      </c>
      <c r="AJ36" s="33" t="s">
        <v>105</v>
      </c>
      <c r="AK36" s="34">
        <v>7.32</v>
      </c>
      <c r="AL36" s="32" t="s">
        <v>104</v>
      </c>
      <c r="AM36" s="35" t="s">
        <v>105</v>
      </c>
    </row>
    <row r="37" spans="1:39" ht="19.899999999999999" customHeight="1" x14ac:dyDescent="0.2">
      <c r="A37" s="39" t="s">
        <v>109</v>
      </c>
      <c r="B37" s="22">
        <v>270</v>
      </c>
      <c r="C37" s="23">
        <v>150</v>
      </c>
      <c r="D37" s="24">
        <v>6.05</v>
      </c>
      <c r="E37" s="25" t="s">
        <v>104</v>
      </c>
      <c r="F37" s="26" t="s">
        <v>105</v>
      </c>
      <c r="G37" s="27">
        <v>6.38</v>
      </c>
      <c r="H37" s="25" t="s">
        <v>104</v>
      </c>
      <c r="I37" s="28" t="s">
        <v>105</v>
      </c>
      <c r="J37" s="24">
        <v>6.47</v>
      </c>
      <c r="K37" s="25" t="s">
        <v>104</v>
      </c>
      <c r="L37" s="26" t="s">
        <v>105</v>
      </c>
      <c r="M37" s="27">
        <v>6.82</v>
      </c>
      <c r="N37" s="25" t="s">
        <v>104</v>
      </c>
      <c r="O37" s="28" t="s">
        <v>105</v>
      </c>
      <c r="P37" s="24">
        <v>6.6</v>
      </c>
      <c r="Q37" s="25" t="s">
        <v>104</v>
      </c>
      <c r="R37" s="26" t="s">
        <v>105</v>
      </c>
      <c r="S37" s="27">
        <v>6.96</v>
      </c>
      <c r="T37" s="25" t="s">
        <v>104</v>
      </c>
      <c r="U37" s="28" t="s">
        <v>105</v>
      </c>
      <c r="V37" s="24">
        <v>6.22</v>
      </c>
      <c r="W37" s="25" t="s">
        <v>104</v>
      </c>
      <c r="X37" s="26" t="s">
        <v>105</v>
      </c>
      <c r="Y37" s="27">
        <v>6.56</v>
      </c>
      <c r="Z37" s="25" t="s">
        <v>104</v>
      </c>
      <c r="AA37" s="28" t="s">
        <v>105</v>
      </c>
      <c r="AB37" s="24">
        <v>6.66</v>
      </c>
      <c r="AC37" s="25" t="s">
        <v>104</v>
      </c>
      <c r="AD37" s="26" t="s">
        <v>105</v>
      </c>
      <c r="AE37" s="27">
        <v>7.02</v>
      </c>
      <c r="AF37" s="25" t="s">
        <v>104</v>
      </c>
      <c r="AG37" s="28" t="s">
        <v>105</v>
      </c>
      <c r="AH37" s="24">
        <v>6.83</v>
      </c>
      <c r="AI37" s="25" t="s">
        <v>104</v>
      </c>
      <c r="AJ37" s="26" t="s">
        <v>105</v>
      </c>
      <c r="AK37" s="27">
        <v>7.2</v>
      </c>
      <c r="AL37" s="25" t="s">
        <v>104</v>
      </c>
      <c r="AM37" s="28" t="s">
        <v>105</v>
      </c>
    </row>
    <row r="38" spans="1:39" ht="19.899999999999999" customHeight="1" x14ac:dyDescent="0.2">
      <c r="A38" s="39" t="s">
        <v>109</v>
      </c>
      <c r="B38" s="29">
        <v>70</v>
      </c>
      <c r="C38" s="30">
        <v>250</v>
      </c>
      <c r="D38" s="31">
        <v>6.47</v>
      </c>
      <c r="E38" s="32" t="s">
        <v>104</v>
      </c>
      <c r="F38" s="33" t="s">
        <v>105</v>
      </c>
      <c r="G38" s="34">
        <v>6.82</v>
      </c>
      <c r="H38" s="32" t="s">
        <v>104</v>
      </c>
      <c r="I38" s="35" t="s">
        <v>105</v>
      </c>
      <c r="J38" s="31">
        <v>6.86</v>
      </c>
      <c r="K38" s="32" t="s">
        <v>104</v>
      </c>
      <c r="L38" s="33" t="s">
        <v>105</v>
      </c>
      <c r="M38" s="34">
        <v>7.23</v>
      </c>
      <c r="N38" s="32" t="s">
        <v>104</v>
      </c>
      <c r="O38" s="35" t="s">
        <v>105</v>
      </c>
      <c r="P38" s="31">
        <v>6.99</v>
      </c>
      <c r="Q38" s="32" t="s">
        <v>104</v>
      </c>
      <c r="R38" s="33" t="s">
        <v>105</v>
      </c>
      <c r="S38" s="34">
        <v>7.37</v>
      </c>
      <c r="T38" s="32" t="s">
        <v>104</v>
      </c>
      <c r="U38" s="35" t="s">
        <v>105</v>
      </c>
      <c r="V38" s="31">
        <v>6.66</v>
      </c>
      <c r="W38" s="32" t="s">
        <v>104</v>
      </c>
      <c r="X38" s="33" t="s">
        <v>105</v>
      </c>
      <c r="Y38" s="34">
        <v>7.02</v>
      </c>
      <c r="Z38" s="32" t="s">
        <v>104</v>
      </c>
      <c r="AA38" s="35" t="s">
        <v>105</v>
      </c>
      <c r="AB38" s="31">
        <v>7.07</v>
      </c>
      <c r="AC38" s="32" t="s">
        <v>104</v>
      </c>
      <c r="AD38" s="33" t="s">
        <v>105</v>
      </c>
      <c r="AE38" s="34">
        <v>7.45</v>
      </c>
      <c r="AF38" s="32" t="s">
        <v>104</v>
      </c>
      <c r="AG38" s="35" t="s">
        <v>105</v>
      </c>
      <c r="AH38" s="31">
        <v>7.23</v>
      </c>
      <c r="AI38" s="32" t="s">
        <v>104</v>
      </c>
      <c r="AJ38" s="33" t="s">
        <v>105</v>
      </c>
      <c r="AK38" s="34">
        <v>7.45</v>
      </c>
      <c r="AL38" s="32" t="s">
        <v>104</v>
      </c>
      <c r="AM38" s="35" t="s">
        <v>106</v>
      </c>
    </row>
    <row r="39" spans="1:39" ht="19.899999999999999" customHeight="1" x14ac:dyDescent="0.2">
      <c r="A39" s="39" t="s">
        <v>109</v>
      </c>
      <c r="B39" s="22">
        <v>190</v>
      </c>
      <c r="C39" s="23">
        <v>250</v>
      </c>
      <c r="D39" s="24">
        <v>6.13</v>
      </c>
      <c r="E39" s="25" t="s">
        <v>104</v>
      </c>
      <c r="F39" s="26" t="s">
        <v>105</v>
      </c>
      <c r="G39" s="27">
        <v>6.47</v>
      </c>
      <c r="H39" s="25" t="s">
        <v>104</v>
      </c>
      <c r="I39" s="28" t="s">
        <v>105</v>
      </c>
      <c r="J39" s="24">
        <v>6.5</v>
      </c>
      <c r="K39" s="25" t="s">
        <v>104</v>
      </c>
      <c r="L39" s="26" t="s">
        <v>105</v>
      </c>
      <c r="M39" s="27">
        <v>6.86</v>
      </c>
      <c r="N39" s="25" t="s">
        <v>104</v>
      </c>
      <c r="O39" s="28" t="s">
        <v>105</v>
      </c>
      <c r="P39" s="24">
        <v>6.63</v>
      </c>
      <c r="Q39" s="25" t="s">
        <v>104</v>
      </c>
      <c r="R39" s="26" t="s">
        <v>105</v>
      </c>
      <c r="S39" s="27">
        <v>6.99</v>
      </c>
      <c r="T39" s="25" t="s">
        <v>104</v>
      </c>
      <c r="U39" s="28" t="s">
        <v>105</v>
      </c>
      <c r="V39" s="24">
        <v>6.29</v>
      </c>
      <c r="W39" s="25" t="s">
        <v>104</v>
      </c>
      <c r="X39" s="26" t="s">
        <v>105</v>
      </c>
      <c r="Y39" s="27">
        <v>6.64</v>
      </c>
      <c r="Z39" s="25" t="s">
        <v>104</v>
      </c>
      <c r="AA39" s="28" t="s">
        <v>105</v>
      </c>
      <c r="AB39" s="24">
        <v>6.68</v>
      </c>
      <c r="AC39" s="25" t="s">
        <v>104</v>
      </c>
      <c r="AD39" s="26" t="s">
        <v>105</v>
      </c>
      <c r="AE39" s="27">
        <v>7.04</v>
      </c>
      <c r="AF39" s="25" t="s">
        <v>104</v>
      </c>
      <c r="AG39" s="28" t="s">
        <v>105</v>
      </c>
      <c r="AH39" s="24">
        <v>6.83</v>
      </c>
      <c r="AI39" s="25" t="s">
        <v>104</v>
      </c>
      <c r="AJ39" s="26" t="s">
        <v>105</v>
      </c>
      <c r="AK39" s="27">
        <v>7.2</v>
      </c>
      <c r="AL39" s="25" t="s">
        <v>104</v>
      </c>
      <c r="AM39" s="28" t="s">
        <v>105</v>
      </c>
    </row>
    <row r="40" spans="1:39" ht="19.899999999999999" customHeight="1" x14ac:dyDescent="0.2">
      <c r="A40" s="39" t="s">
        <v>109</v>
      </c>
      <c r="B40" s="29">
        <v>240</v>
      </c>
      <c r="C40" s="30">
        <v>250</v>
      </c>
      <c r="D40" s="31">
        <v>6.01</v>
      </c>
      <c r="E40" s="32" t="s">
        <v>104</v>
      </c>
      <c r="F40" s="33" t="s">
        <v>105</v>
      </c>
      <c r="G40" s="34">
        <v>6.33</v>
      </c>
      <c r="H40" s="32" t="s">
        <v>104</v>
      </c>
      <c r="I40" s="35" t="s">
        <v>105</v>
      </c>
      <c r="J40" s="31">
        <v>6.37</v>
      </c>
      <c r="K40" s="32" t="s">
        <v>104</v>
      </c>
      <c r="L40" s="33" t="s">
        <v>105</v>
      </c>
      <c r="M40" s="34">
        <v>6.72</v>
      </c>
      <c r="N40" s="32" t="s">
        <v>104</v>
      </c>
      <c r="O40" s="35" t="s">
        <v>105</v>
      </c>
      <c r="P40" s="31">
        <v>6.49</v>
      </c>
      <c r="Q40" s="32" t="s">
        <v>104</v>
      </c>
      <c r="R40" s="33" t="s">
        <v>105</v>
      </c>
      <c r="S40" s="34">
        <v>6.84</v>
      </c>
      <c r="T40" s="32" t="s">
        <v>104</v>
      </c>
      <c r="U40" s="35" t="s">
        <v>105</v>
      </c>
      <c r="V40" s="31">
        <v>6.16</v>
      </c>
      <c r="W40" s="32" t="s">
        <v>104</v>
      </c>
      <c r="X40" s="33" t="s">
        <v>105</v>
      </c>
      <c r="Y40" s="34">
        <v>6.49</v>
      </c>
      <c r="Z40" s="32" t="s">
        <v>104</v>
      </c>
      <c r="AA40" s="35" t="s">
        <v>105</v>
      </c>
      <c r="AB40" s="31">
        <v>6.53</v>
      </c>
      <c r="AC40" s="32" t="s">
        <v>104</v>
      </c>
      <c r="AD40" s="33" t="s">
        <v>105</v>
      </c>
      <c r="AE40" s="34">
        <v>6.89</v>
      </c>
      <c r="AF40" s="32" t="s">
        <v>104</v>
      </c>
      <c r="AG40" s="35" t="s">
        <v>105</v>
      </c>
      <c r="AH40" s="31">
        <v>6.68</v>
      </c>
      <c r="AI40" s="32" t="s">
        <v>104</v>
      </c>
      <c r="AJ40" s="33" t="s">
        <v>105</v>
      </c>
      <c r="AK40" s="34">
        <v>7.05</v>
      </c>
      <c r="AL40" s="32" t="s">
        <v>104</v>
      </c>
      <c r="AM40" s="35" t="s">
        <v>105</v>
      </c>
    </row>
    <row r="41" spans="1:39" ht="19.899999999999999" customHeight="1" x14ac:dyDescent="0.2">
      <c r="A41" s="40" t="s">
        <v>109</v>
      </c>
      <c r="B41" s="41">
        <v>270</v>
      </c>
      <c r="C41" s="42">
        <v>250</v>
      </c>
      <c r="D41" s="43">
        <v>5.94</v>
      </c>
      <c r="E41" s="44" t="s">
        <v>104</v>
      </c>
      <c r="F41" s="45" t="s">
        <v>105</v>
      </c>
      <c r="G41" s="46">
        <v>6.26</v>
      </c>
      <c r="H41" s="44" t="s">
        <v>104</v>
      </c>
      <c r="I41" s="47" t="s">
        <v>105</v>
      </c>
      <c r="J41" s="43">
        <v>6.3</v>
      </c>
      <c r="K41" s="44" t="s">
        <v>104</v>
      </c>
      <c r="L41" s="45" t="s">
        <v>105</v>
      </c>
      <c r="M41" s="46">
        <v>6.64</v>
      </c>
      <c r="N41" s="44" t="s">
        <v>104</v>
      </c>
      <c r="O41" s="47" t="s">
        <v>105</v>
      </c>
      <c r="P41" s="43">
        <v>6.41</v>
      </c>
      <c r="Q41" s="44" t="s">
        <v>104</v>
      </c>
      <c r="R41" s="45" t="s">
        <v>105</v>
      </c>
      <c r="S41" s="46">
        <v>6.76</v>
      </c>
      <c r="T41" s="44" t="s">
        <v>104</v>
      </c>
      <c r="U41" s="47" t="s">
        <v>105</v>
      </c>
      <c r="V41" s="43">
        <v>6.08</v>
      </c>
      <c r="W41" s="44" t="s">
        <v>104</v>
      </c>
      <c r="X41" s="45" t="s">
        <v>105</v>
      </c>
      <c r="Y41" s="46">
        <v>6.41</v>
      </c>
      <c r="Z41" s="44" t="s">
        <v>104</v>
      </c>
      <c r="AA41" s="47" t="s">
        <v>105</v>
      </c>
      <c r="AB41" s="43">
        <v>6.45</v>
      </c>
      <c r="AC41" s="44" t="s">
        <v>104</v>
      </c>
      <c r="AD41" s="45" t="s">
        <v>105</v>
      </c>
      <c r="AE41" s="46">
        <v>6.8</v>
      </c>
      <c r="AF41" s="44" t="s">
        <v>104</v>
      </c>
      <c r="AG41" s="47" t="s">
        <v>105</v>
      </c>
      <c r="AH41" s="43">
        <v>6.6</v>
      </c>
      <c r="AI41" s="44" t="s">
        <v>104</v>
      </c>
      <c r="AJ41" s="45" t="s">
        <v>105</v>
      </c>
      <c r="AK41" s="46">
        <v>6.96</v>
      </c>
      <c r="AL41" s="44" t="s">
        <v>104</v>
      </c>
      <c r="AM41" s="47" t="s">
        <v>105</v>
      </c>
    </row>
    <row r="42" spans="1:39" ht="15" x14ac:dyDescent="0.2">
      <c r="A42" s="1" t="e">
        <v>#REF!</v>
      </c>
      <c r="B42" s="36" t="e">
        <v>#REF!</v>
      </c>
      <c r="C42" s="36" t="e">
        <v>#REF!</v>
      </c>
      <c r="D42" s="37" t="e">
        <v>#REF!</v>
      </c>
      <c r="E42" s="36" t="e">
        <v>#REF!</v>
      </c>
      <c r="F42" s="36" t="e">
        <v>#REF!</v>
      </c>
      <c r="G42" s="36" t="e">
        <v>#REF!</v>
      </c>
      <c r="H42" s="36" t="e">
        <v>#REF!</v>
      </c>
      <c r="I42" s="36" t="e">
        <v>#REF!</v>
      </c>
      <c r="J42" s="37" t="e">
        <v>#REF!</v>
      </c>
      <c r="K42" s="36" t="e">
        <v>#REF!</v>
      </c>
      <c r="L42" s="36" t="e">
        <v>#REF!</v>
      </c>
      <c r="M42" s="36" t="e">
        <v>#REF!</v>
      </c>
      <c r="N42" s="36" t="e">
        <v>#REF!</v>
      </c>
      <c r="O42" s="36" t="e">
        <v>#REF!</v>
      </c>
      <c r="P42" s="37" t="e">
        <v>#REF!</v>
      </c>
      <c r="Q42" s="36" t="e">
        <v>#REF!</v>
      </c>
      <c r="R42" s="36" t="e">
        <v>#REF!</v>
      </c>
      <c r="S42" s="36" t="e">
        <v>#REF!</v>
      </c>
      <c r="T42" s="36" t="e">
        <v>#REF!</v>
      </c>
      <c r="U42" s="36" t="e">
        <v>#REF!</v>
      </c>
      <c r="V42" s="37" t="e">
        <v>#REF!</v>
      </c>
      <c r="W42" s="36" t="e">
        <v>#REF!</v>
      </c>
      <c r="X42" s="36" t="e">
        <v>#REF!</v>
      </c>
      <c r="Y42" s="36" t="e">
        <v>#REF!</v>
      </c>
      <c r="Z42" s="36" t="e">
        <v>#REF!</v>
      </c>
      <c r="AA42" s="36" t="e">
        <v>#REF!</v>
      </c>
      <c r="AB42" s="37" t="e">
        <v>#REF!</v>
      </c>
      <c r="AC42" s="36" t="e">
        <v>#REF!</v>
      </c>
      <c r="AD42" s="36" t="e">
        <v>#REF!</v>
      </c>
      <c r="AE42" s="36" t="e">
        <v>#REF!</v>
      </c>
      <c r="AF42" s="36" t="e">
        <v>#REF!</v>
      </c>
      <c r="AG42" s="36" t="e">
        <v>#REF!</v>
      </c>
      <c r="AH42" s="37" t="e">
        <v>#REF!</v>
      </c>
      <c r="AI42" s="36" t="e">
        <v>#REF!</v>
      </c>
      <c r="AJ42" s="36" t="e">
        <v>#REF!</v>
      </c>
      <c r="AK42" s="36" t="e">
        <v>#REF!</v>
      </c>
      <c r="AL42" s="36" t="e">
        <v>#REF!</v>
      </c>
      <c r="AM42" s="36" t="e">
        <v>#REF!</v>
      </c>
    </row>
    <row r="44" spans="1:39" x14ac:dyDescent="0.2">
      <c r="A44" s="11" t="s">
        <v>7</v>
      </c>
      <c r="B44" s="12"/>
      <c r="C44" s="13"/>
      <c r="D44" s="14"/>
      <c r="E44" s="14"/>
      <c r="F44" s="12"/>
    </row>
    <row r="45" spans="1:39" x14ac:dyDescent="0.2">
      <c r="A45" s="11" t="s">
        <v>8</v>
      </c>
      <c r="B45" s="12"/>
      <c r="C45" s="13"/>
      <c r="D45" s="14"/>
      <c r="E45" s="14"/>
      <c r="F45" s="12"/>
    </row>
    <row r="46" spans="1:39" x14ac:dyDescent="0.2">
      <c r="A46" s="11" t="s">
        <v>9</v>
      </c>
      <c r="B46" s="12"/>
      <c r="C46" s="13"/>
      <c r="D46" s="14"/>
      <c r="E46" s="14"/>
      <c r="F46" s="12"/>
    </row>
  </sheetData>
  <mergeCells count="26">
    <mergeCell ref="AH5:AJ5"/>
    <mergeCell ref="AK5:AM5"/>
    <mergeCell ref="P5:R5"/>
    <mergeCell ref="S5:U5"/>
    <mergeCell ref="V5:X5"/>
    <mergeCell ref="Y5:AA5"/>
    <mergeCell ref="AB5:AD5"/>
    <mergeCell ref="AE5:AG5"/>
    <mergeCell ref="AB3:AG3"/>
    <mergeCell ref="AH3:AM3"/>
    <mergeCell ref="D4:I4"/>
    <mergeCell ref="J4:O4"/>
    <mergeCell ref="P4:U4"/>
    <mergeCell ref="V4:AA4"/>
    <mergeCell ref="AB4:AG4"/>
    <mergeCell ref="AH4:AM4"/>
    <mergeCell ref="V3:AA3"/>
    <mergeCell ref="A3:A5"/>
    <mergeCell ref="B3:C3"/>
    <mergeCell ref="D3:I3"/>
    <mergeCell ref="J3:O3"/>
    <mergeCell ref="P3:U3"/>
    <mergeCell ref="D5:F5"/>
    <mergeCell ref="G5:I5"/>
    <mergeCell ref="J5:L5"/>
    <mergeCell ref="M5:O5"/>
  </mergeCells>
  <printOptions horizontalCentered="1"/>
  <pageMargins left="0.25" right="0.25" top="0.75" bottom="0.75" header="0.3" footer="0.3"/>
  <pageSetup paperSize="8" fitToHeight="0" orientation="landscape" verticalDpi="300" r:id="rId1"/>
  <headerFooter alignWithMargins="0">
    <oddFooter>&amp;L&amp;"MS Sans Serif,Gras"SEAC - Confidentiel&amp;C&amp;D - &amp;T&amp;RPage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5E59-A33A-4B4C-BDBF-49AEAD745C7A}">
  <dimension ref="A1"/>
  <sheetViews>
    <sheetView showGridLines="0" showRowColHeaders="0" zoomScale="85" zoomScaleNormal="85" workbookViewId="0">
      <selection activeCell="T38" sqref="T38"/>
    </sheetView>
  </sheetViews>
  <sheetFormatPr baseColWidth="10" defaultRowHeight="12.75" x14ac:dyDescent="0.2"/>
  <cols>
    <col min="1" max="16384" width="11.42578125" style="104"/>
  </cols>
  <sheetData/>
  <sheetProtection algorithmName="SHA-512" hashValue="ygBDjGI9VLGNaoML0Fa96LGaLjHjRM4QPL753Fdw3w7Xj8NxQQ9fH0tDLbCGhL1YvwBBhc6pglX8mBWIi9+u7A==" saltValue="SpyI57QT8G2ZT0amny7HDQ==" spinCount="100000"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509B-59FD-4793-8287-621EA8DF4146}">
  <dimension ref="B4:I18"/>
  <sheetViews>
    <sheetView showGridLines="0" showRowColHeaders="0" zoomScale="89" zoomScaleNormal="89" workbookViewId="0">
      <selection activeCell="R54" sqref="R54"/>
    </sheetView>
  </sheetViews>
  <sheetFormatPr baseColWidth="10" defaultRowHeight="12.75" x14ac:dyDescent="0.2"/>
  <cols>
    <col min="1" max="16384" width="11.42578125" style="84"/>
  </cols>
  <sheetData>
    <row r="4" spans="5:9" ht="41.25" x14ac:dyDescent="0.8">
      <c r="I4" s="88" t="s">
        <v>149</v>
      </c>
    </row>
    <row r="7" spans="5:9" ht="15.75" x14ac:dyDescent="0.25">
      <c r="E7" s="85" t="s">
        <v>154</v>
      </c>
      <c r="F7" s="86"/>
    </row>
    <row r="8" spans="5:9" ht="15.75" x14ac:dyDescent="0.25">
      <c r="E8" s="85" t="s">
        <v>155</v>
      </c>
      <c r="H8" s="87" t="s">
        <v>150</v>
      </c>
    </row>
    <row r="9" spans="5:9" ht="15.75" x14ac:dyDescent="0.25">
      <c r="E9" s="85"/>
      <c r="F9" s="87"/>
      <c r="H9" s="87" t="s">
        <v>151</v>
      </c>
    </row>
    <row r="10" spans="5:9" x14ac:dyDescent="0.2">
      <c r="H10" s="87" t="s">
        <v>152</v>
      </c>
    </row>
    <row r="11" spans="5:9" x14ac:dyDescent="0.2">
      <c r="H11" s="87" t="s">
        <v>156</v>
      </c>
    </row>
    <row r="12" spans="5:9" x14ac:dyDescent="0.2">
      <c r="H12" s="87" t="s">
        <v>153</v>
      </c>
    </row>
    <row r="14" spans="5:9" ht="15.75" x14ac:dyDescent="0.25">
      <c r="E14" s="85" t="s">
        <v>157</v>
      </c>
    </row>
    <row r="18" spans="2:2" x14ac:dyDescent="0.2">
      <c r="B18" s="87"/>
    </row>
  </sheetData>
  <sheetProtection algorithmName="SHA-512" hashValue="qXwQPBN0YgOyrRWdeJiFVYjU2usE6hYf9noAyqvzS3Z5f8Wfe/osIQSCQtYedrBzZtANokEksfeIeYRCB4nS/A==" saltValue="IxuUoGDns2ygcm1BjUJQpQ==" spinCount="100000" sheet="1" objects="1" scenarios="1" select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E2EA0-CBCF-4949-B17F-57BD1E8975CF}">
  <dimension ref="E5:BM70"/>
  <sheetViews>
    <sheetView topLeftCell="AI71" zoomScaleNormal="100" workbookViewId="0">
      <selection activeCell="AQ107" sqref="AQ107"/>
    </sheetView>
  </sheetViews>
  <sheetFormatPr baseColWidth="10" defaultRowHeight="12.75" x14ac:dyDescent="0.2"/>
  <cols>
    <col min="1" max="7" width="11.42578125" style="89"/>
    <col min="8" max="15" width="7.7109375" style="89" customWidth="1"/>
    <col min="16" max="17" width="11.42578125" style="89"/>
    <col min="18" max="25" width="7.7109375" style="89" customWidth="1"/>
    <col min="26" max="27" width="11.42578125" style="89"/>
    <col min="28" max="35" width="7.7109375" style="89" customWidth="1"/>
    <col min="36" max="37" width="11.42578125" style="89"/>
    <col min="38" max="45" width="7.7109375" style="89" customWidth="1"/>
    <col min="46" max="47" width="11.42578125" style="89"/>
    <col min="48" max="55" width="7.7109375" style="89" customWidth="1"/>
    <col min="56" max="57" width="11.42578125" style="89"/>
    <col min="58" max="65" width="7.7109375" style="89" customWidth="1"/>
    <col min="66" max="16384" width="11.42578125" style="89"/>
  </cols>
  <sheetData>
    <row r="5" spans="7:65" x14ac:dyDescent="0.2">
      <c r="K5" s="90"/>
    </row>
    <row r="7" spans="7:65" hidden="1" x14ac:dyDescent="0.2"/>
    <row r="8" spans="7:65" hidden="1" x14ac:dyDescent="0.2"/>
    <row r="9" spans="7:65" hidden="1" x14ac:dyDescent="0.2"/>
    <row r="10" spans="7:65" ht="19.5" hidden="1" x14ac:dyDescent="0.3">
      <c r="K10" s="91">
        <v>12</v>
      </c>
      <c r="T10" s="91">
        <v>12</v>
      </c>
      <c r="AD10" s="91">
        <v>15</v>
      </c>
      <c r="AN10" s="91">
        <v>15</v>
      </c>
      <c r="AX10" s="91">
        <v>20</v>
      </c>
      <c r="BH10" s="91">
        <v>20</v>
      </c>
    </row>
    <row r="11" spans="7:65" hidden="1" x14ac:dyDescent="0.2">
      <c r="K11" s="90" t="s">
        <v>78</v>
      </c>
      <c r="T11" s="90" t="s">
        <v>79</v>
      </c>
      <c r="AD11" s="90" t="s">
        <v>78</v>
      </c>
      <c r="AN11" s="90" t="s">
        <v>79</v>
      </c>
      <c r="AX11" s="90" t="s">
        <v>78</v>
      </c>
      <c r="BH11" s="90" t="s">
        <v>79</v>
      </c>
    </row>
    <row r="12" spans="7:65" hidden="1" x14ac:dyDescent="0.2">
      <c r="H12" s="89">
        <v>137</v>
      </c>
      <c r="J12" s="89">
        <v>137</v>
      </c>
      <c r="K12" s="90"/>
      <c r="L12" s="89">
        <v>137</v>
      </c>
      <c r="N12" s="89">
        <v>137</v>
      </c>
      <c r="R12" s="89">
        <v>937</v>
      </c>
      <c r="AB12" s="89">
        <v>158</v>
      </c>
      <c r="AD12" s="89">
        <v>179</v>
      </c>
      <c r="AF12" s="89">
        <v>189</v>
      </c>
      <c r="AH12" s="89">
        <v>189</v>
      </c>
      <c r="AL12" s="89" t="s">
        <v>69</v>
      </c>
      <c r="AN12" s="89">
        <v>179</v>
      </c>
      <c r="AP12" s="89">
        <v>179</v>
      </c>
      <c r="AR12" s="89">
        <v>179</v>
      </c>
      <c r="AV12" s="89">
        <v>189</v>
      </c>
      <c r="AX12" s="89">
        <v>189</v>
      </c>
      <c r="AZ12" s="89">
        <v>189</v>
      </c>
      <c r="BB12" s="89">
        <v>189</v>
      </c>
      <c r="BF12" s="89">
        <v>189</v>
      </c>
      <c r="BH12" s="89">
        <v>189</v>
      </c>
      <c r="BJ12" s="89">
        <v>189</v>
      </c>
      <c r="BL12" s="89">
        <v>189</v>
      </c>
    </row>
    <row r="13" spans="7:65" hidden="1" x14ac:dyDescent="0.2">
      <c r="H13" s="229" t="s">
        <v>111</v>
      </c>
      <c r="I13" s="229"/>
      <c r="J13" s="229" t="s">
        <v>112</v>
      </c>
      <c r="K13" s="229"/>
      <c r="L13" s="229" t="s">
        <v>113</v>
      </c>
      <c r="M13" s="229"/>
      <c r="N13" s="229" t="s">
        <v>114</v>
      </c>
      <c r="O13" s="229"/>
      <c r="R13" s="229" t="s">
        <v>111</v>
      </c>
      <c r="S13" s="229"/>
      <c r="T13" s="229" t="s">
        <v>112</v>
      </c>
      <c r="U13" s="229"/>
      <c r="V13" s="229" t="s">
        <v>113</v>
      </c>
      <c r="W13" s="229"/>
      <c r="X13" s="229" t="s">
        <v>114</v>
      </c>
      <c r="Y13" s="229"/>
      <c r="AB13" s="229" t="s">
        <v>115</v>
      </c>
      <c r="AC13" s="229"/>
      <c r="AD13" s="229" t="s">
        <v>116</v>
      </c>
      <c r="AE13" s="229"/>
      <c r="AF13" s="229" t="s">
        <v>117</v>
      </c>
      <c r="AG13" s="229"/>
      <c r="AH13" s="229" t="s">
        <v>118</v>
      </c>
      <c r="AI13" s="229"/>
      <c r="AL13" s="229" t="s">
        <v>115</v>
      </c>
      <c r="AM13" s="229"/>
      <c r="AN13" s="229" t="s">
        <v>116</v>
      </c>
      <c r="AO13" s="229"/>
      <c r="AP13" s="229" t="s">
        <v>117</v>
      </c>
      <c r="AQ13" s="229"/>
      <c r="AR13" s="229" t="s">
        <v>118</v>
      </c>
      <c r="AS13" s="229"/>
      <c r="AV13" s="229" t="s">
        <v>119</v>
      </c>
      <c r="AW13" s="229"/>
      <c r="AX13" s="229" t="s">
        <v>120</v>
      </c>
      <c r="AY13" s="229"/>
      <c r="AZ13" s="229" t="s">
        <v>121</v>
      </c>
      <c r="BA13" s="229"/>
      <c r="BB13" s="229" t="s">
        <v>122</v>
      </c>
      <c r="BC13" s="229"/>
      <c r="BF13" s="229" t="s">
        <v>119</v>
      </c>
      <c r="BG13" s="229"/>
      <c r="BH13" s="229" t="s">
        <v>120</v>
      </c>
      <c r="BI13" s="229"/>
      <c r="BJ13" s="229" t="s">
        <v>121</v>
      </c>
      <c r="BK13" s="229"/>
      <c r="BL13" s="229" t="s">
        <v>122</v>
      </c>
      <c r="BM13" s="229"/>
    </row>
    <row r="14" spans="7:65" hidden="1" x14ac:dyDescent="0.2">
      <c r="H14" s="229">
        <v>5</v>
      </c>
      <c r="I14" s="229"/>
      <c r="J14" s="229">
        <v>6</v>
      </c>
      <c r="K14" s="229"/>
      <c r="L14" s="229">
        <v>7</v>
      </c>
      <c r="M14" s="229"/>
      <c r="N14" s="229">
        <v>8</v>
      </c>
      <c r="O14" s="229"/>
      <c r="R14" s="229">
        <v>5</v>
      </c>
      <c r="S14" s="229"/>
      <c r="T14" s="229">
        <v>6</v>
      </c>
      <c r="U14" s="229"/>
      <c r="V14" s="229">
        <v>7</v>
      </c>
      <c r="W14" s="229"/>
      <c r="X14" s="229">
        <v>8</v>
      </c>
      <c r="Y14" s="229"/>
      <c r="AB14" s="229">
        <v>5</v>
      </c>
      <c r="AC14" s="229"/>
      <c r="AD14" s="229">
        <v>6</v>
      </c>
      <c r="AE14" s="229"/>
      <c r="AF14" s="229">
        <v>7</v>
      </c>
      <c r="AG14" s="229"/>
      <c r="AH14" s="229">
        <v>8</v>
      </c>
      <c r="AI14" s="229"/>
      <c r="AL14" s="229">
        <v>5</v>
      </c>
      <c r="AM14" s="229"/>
      <c r="AN14" s="229">
        <v>6</v>
      </c>
      <c r="AO14" s="229"/>
      <c r="AP14" s="229">
        <v>7</v>
      </c>
      <c r="AQ14" s="229"/>
      <c r="AR14" s="229">
        <v>8</v>
      </c>
      <c r="AS14" s="229"/>
      <c r="AV14" s="229">
        <v>5</v>
      </c>
      <c r="AW14" s="229"/>
      <c r="AX14" s="229">
        <v>6</v>
      </c>
      <c r="AY14" s="229"/>
      <c r="AZ14" s="229">
        <v>7</v>
      </c>
      <c r="BA14" s="229"/>
      <c r="BB14" s="229">
        <v>8</v>
      </c>
      <c r="BC14" s="229"/>
      <c r="BF14" s="229">
        <v>5</v>
      </c>
      <c r="BG14" s="229"/>
      <c r="BH14" s="229">
        <v>6</v>
      </c>
      <c r="BI14" s="229"/>
      <c r="BJ14" s="229">
        <v>7</v>
      </c>
      <c r="BK14" s="229"/>
      <c r="BL14" s="229">
        <v>8</v>
      </c>
      <c r="BM14" s="229"/>
    </row>
    <row r="15" spans="7:65" hidden="1" x14ac:dyDescent="0.2">
      <c r="H15" s="92" t="s">
        <v>24</v>
      </c>
      <c r="I15" s="92" t="s">
        <v>25</v>
      </c>
      <c r="J15" s="92" t="s">
        <v>24</v>
      </c>
      <c r="K15" s="92" t="s">
        <v>25</v>
      </c>
      <c r="L15" s="92" t="s">
        <v>24</v>
      </c>
      <c r="M15" s="92" t="s">
        <v>25</v>
      </c>
      <c r="N15" s="92" t="s">
        <v>24</v>
      </c>
      <c r="O15" s="92" t="s">
        <v>25</v>
      </c>
      <c r="R15" s="92" t="s">
        <v>24</v>
      </c>
      <c r="S15" s="92" t="s">
        <v>25</v>
      </c>
      <c r="T15" s="92" t="s">
        <v>24</v>
      </c>
      <c r="U15" s="92" t="s">
        <v>25</v>
      </c>
      <c r="V15" s="92" t="s">
        <v>24</v>
      </c>
      <c r="W15" s="92" t="s">
        <v>25</v>
      </c>
      <c r="X15" s="92" t="s">
        <v>24</v>
      </c>
      <c r="Y15" s="92" t="s">
        <v>25</v>
      </c>
      <c r="AB15" s="92" t="s">
        <v>24</v>
      </c>
      <c r="AC15" s="92" t="s">
        <v>25</v>
      </c>
      <c r="AD15" s="92" t="s">
        <v>24</v>
      </c>
      <c r="AE15" s="92" t="s">
        <v>25</v>
      </c>
      <c r="AF15" s="92" t="s">
        <v>24</v>
      </c>
      <c r="AG15" s="92" t="s">
        <v>25</v>
      </c>
      <c r="AH15" s="92" t="s">
        <v>24</v>
      </c>
      <c r="AI15" s="92" t="s">
        <v>25</v>
      </c>
      <c r="AL15" s="92" t="s">
        <v>24</v>
      </c>
      <c r="AM15" s="92" t="s">
        <v>25</v>
      </c>
      <c r="AN15" s="92" t="s">
        <v>24</v>
      </c>
      <c r="AO15" s="92" t="s">
        <v>25</v>
      </c>
      <c r="AP15" s="92" t="s">
        <v>24</v>
      </c>
      <c r="AQ15" s="92" t="s">
        <v>25</v>
      </c>
      <c r="AR15" s="92" t="s">
        <v>24</v>
      </c>
      <c r="AS15" s="92" t="s">
        <v>25</v>
      </c>
      <c r="AV15" s="92" t="s">
        <v>24</v>
      </c>
      <c r="AW15" s="92" t="s">
        <v>25</v>
      </c>
      <c r="AX15" s="92" t="s">
        <v>24</v>
      </c>
      <c r="AY15" s="92" t="s">
        <v>25</v>
      </c>
      <c r="AZ15" s="92" t="s">
        <v>24</v>
      </c>
      <c r="BA15" s="92" t="s">
        <v>25</v>
      </c>
      <c r="BB15" s="92" t="s">
        <v>24</v>
      </c>
      <c r="BC15" s="92" t="s">
        <v>25</v>
      </c>
      <c r="BF15" s="92" t="s">
        <v>24</v>
      </c>
      <c r="BG15" s="92" t="s">
        <v>25</v>
      </c>
      <c r="BH15" s="92" t="s">
        <v>24</v>
      </c>
      <c r="BI15" s="92" t="s">
        <v>25</v>
      </c>
      <c r="BJ15" s="92" t="s">
        <v>24</v>
      </c>
      <c r="BK15" s="92" t="s">
        <v>25</v>
      </c>
      <c r="BL15" s="92" t="s">
        <v>24</v>
      </c>
      <c r="BM15" s="92" t="s">
        <v>25</v>
      </c>
    </row>
    <row r="16" spans="7:65" hidden="1" x14ac:dyDescent="0.2">
      <c r="G16" s="89" t="s">
        <v>161</v>
      </c>
      <c r="H16" s="89">
        <v>6.2</v>
      </c>
      <c r="I16" s="89">
        <v>6.65</v>
      </c>
      <c r="J16" s="89">
        <v>6.4</v>
      </c>
      <c r="K16" s="89">
        <v>6.85</v>
      </c>
      <c r="L16" s="89">
        <v>6.55</v>
      </c>
      <c r="M16" s="89">
        <v>7.05</v>
      </c>
      <c r="N16" s="89">
        <v>6.7</v>
      </c>
      <c r="O16" s="89">
        <v>7.25</v>
      </c>
      <c r="Q16" s="89" t="s">
        <v>161</v>
      </c>
      <c r="R16" s="89">
        <v>5.45</v>
      </c>
      <c r="S16" s="89">
        <v>5.45</v>
      </c>
      <c r="T16" s="89">
        <v>5.25</v>
      </c>
      <c r="U16" s="89">
        <v>5.25</v>
      </c>
      <c r="V16" s="89">
        <v>5.0999999999999996</v>
      </c>
      <c r="W16" s="89">
        <v>5.0999999999999996</v>
      </c>
      <c r="X16" s="89">
        <v>4.95</v>
      </c>
      <c r="Y16" s="89">
        <v>4.95</v>
      </c>
      <c r="AA16" s="89" t="s">
        <v>161</v>
      </c>
      <c r="AB16" s="89">
        <v>7.05</v>
      </c>
      <c r="AC16" s="89">
        <v>7.55</v>
      </c>
      <c r="AD16" s="89">
        <v>7.2</v>
      </c>
      <c r="AE16" s="89">
        <v>7.75</v>
      </c>
      <c r="AF16" s="89">
        <v>7.3</v>
      </c>
      <c r="AG16" s="89">
        <v>7.8</v>
      </c>
      <c r="AH16" s="89">
        <v>7.45</v>
      </c>
      <c r="AI16" s="89">
        <v>7.85</v>
      </c>
      <c r="AK16" s="89" t="s">
        <v>161</v>
      </c>
      <c r="AL16" s="89">
        <v>5.2</v>
      </c>
      <c r="AM16" s="89">
        <v>5.2</v>
      </c>
      <c r="AN16" s="89">
        <v>6.25</v>
      </c>
      <c r="AO16" s="89">
        <v>6.35</v>
      </c>
      <c r="AP16" s="89">
        <v>6.15</v>
      </c>
      <c r="AQ16" s="89">
        <v>6.15</v>
      </c>
      <c r="AR16" s="89">
        <v>6</v>
      </c>
      <c r="AS16" s="89">
        <v>6</v>
      </c>
      <c r="AU16" s="89" t="s">
        <v>161</v>
      </c>
      <c r="AV16" s="89">
        <v>8.25</v>
      </c>
      <c r="AW16" s="89">
        <v>8.9</v>
      </c>
      <c r="AX16" s="89">
        <v>8.35</v>
      </c>
      <c r="AY16" s="89">
        <v>9</v>
      </c>
      <c r="AZ16" s="89">
        <v>8.5</v>
      </c>
      <c r="BA16" s="89">
        <v>9</v>
      </c>
      <c r="BB16" s="89">
        <v>8.6</v>
      </c>
      <c r="BC16" s="89">
        <v>9</v>
      </c>
      <c r="BE16" s="89" t="s">
        <v>161</v>
      </c>
      <c r="BF16" s="89">
        <v>6.05</v>
      </c>
      <c r="BG16" s="89">
        <v>6.05</v>
      </c>
      <c r="BH16" s="89">
        <v>5.9</v>
      </c>
      <c r="BI16" s="89">
        <v>5.9</v>
      </c>
      <c r="BJ16" s="89">
        <v>5.75</v>
      </c>
      <c r="BK16" s="89">
        <v>5.75</v>
      </c>
      <c r="BL16" s="89">
        <v>5.6</v>
      </c>
      <c r="BM16" s="89">
        <v>5.6</v>
      </c>
    </row>
    <row r="17" spans="7:65" hidden="1" x14ac:dyDescent="0.2">
      <c r="G17" s="89" t="s">
        <v>34</v>
      </c>
      <c r="H17" s="89">
        <v>5.75</v>
      </c>
      <c r="I17" s="89">
        <v>6.2</v>
      </c>
      <c r="J17" s="89">
        <v>6</v>
      </c>
      <c r="K17" s="89">
        <v>6.45</v>
      </c>
      <c r="L17" s="89">
        <v>6.2</v>
      </c>
      <c r="M17" s="89">
        <v>6.7</v>
      </c>
      <c r="N17" s="89">
        <v>6.35</v>
      </c>
      <c r="O17" s="89">
        <v>6.7</v>
      </c>
      <c r="Q17" s="89" t="s">
        <v>34</v>
      </c>
      <c r="R17" s="89">
        <v>5.45</v>
      </c>
      <c r="S17" s="89">
        <v>5.45</v>
      </c>
      <c r="T17" s="89">
        <v>5.25</v>
      </c>
      <c r="U17" s="89">
        <v>5.25</v>
      </c>
      <c r="V17" s="89">
        <v>5.0999999999999996</v>
      </c>
      <c r="W17" s="89">
        <v>5.0999999999999996</v>
      </c>
      <c r="X17" s="89">
        <v>4.95</v>
      </c>
      <c r="Y17" s="89">
        <v>4.95</v>
      </c>
      <c r="AA17" s="89" t="s">
        <v>34</v>
      </c>
      <c r="AB17" s="89">
        <v>6.65</v>
      </c>
      <c r="AC17" s="89">
        <v>7.15</v>
      </c>
      <c r="AD17" s="89">
        <v>7</v>
      </c>
      <c r="AE17" s="89">
        <v>7.6</v>
      </c>
      <c r="AF17" s="89">
        <v>7.1</v>
      </c>
      <c r="AG17" s="89">
        <v>7.7</v>
      </c>
      <c r="AH17" s="89">
        <v>7.25</v>
      </c>
      <c r="AI17" s="89">
        <v>7.85</v>
      </c>
      <c r="AK17" s="89" t="s">
        <v>34</v>
      </c>
      <c r="AL17" s="89">
        <v>5.2</v>
      </c>
      <c r="AM17" s="89">
        <v>5.2</v>
      </c>
      <c r="AN17" s="89">
        <v>6.1</v>
      </c>
      <c r="AO17" s="89">
        <v>6.25</v>
      </c>
      <c r="AP17" s="89">
        <v>6</v>
      </c>
      <c r="AQ17" s="89">
        <v>6.15</v>
      </c>
      <c r="AR17" s="89">
        <v>6</v>
      </c>
      <c r="AS17" s="89">
        <v>6</v>
      </c>
      <c r="AU17" s="89" t="s">
        <v>34</v>
      </c>
      <c r="AV17" s="89">
        <v>7.8</v>
      </c>
      <c r="AW17" s="89">
        <v>8.5</v>
      </c>
      <c r="AX17" s="89">
        <v>8</v>
      </c>
      <c r="AY17" s="89">
        <v>8.6999999999999993</v>
      </c>
      <c r="AZ17" s="89">
        <v>8.0500000000000007</v>
      </c>
      <c r="BA17" s="89">
        <v>8.8000000000000007</v>
      </c>
      <c r="BB17" s="89">
        <v>8.1999999999999993</v>
      </c>
      <c r="BC17" s="89">
        <v>8.9</v>
      </c>
      <c r="BE17" s="89" t="s">
        <v>34</v>
      </c>
      <c r="BF17" s="89">
        <v>6.05</v>
      </c>
      <c r="BG17" s="89">
        <v>6.05</v>
      </c>
      <c r="BH17" s="89">
        <v>5.9</v>
      </c>
      <c r="BI17" s="89">
        <v>5.9</v>
      </c>
      <c r="BJ17" s="89">
        <v>5.75</v>
      </c>
      <c r="BK17" s="89">
        <v>5.75</v>
      </c>
      <c r="BL17" s="89">
        <v>5.6</v>
      </c>
      <c r="BM17" s="89">
        <v>5.6</v>
      </c>
    </row>
    <row r="18" spans="7:65" hidden="1" x14ac:dyDescent="0.2">
      <c r="G18" s="89" t="s">
        <v>35</v>
      </c>
      <c r="H18" s="89">
        <v>5.5</v>
      </c>
      <c r="I18" s="89">
        <v>5.95</v>
      </c>
      <c r="J18" s="89">
        <v>5.7</v>
      </c>
      <c r="K18" s="89">
        <v>6.2</v>
      </c>
      <c r="L18" s="89">
        <v>5.9</v>
      </c>
      <c r="M18" s="89">
        <v>6.4</v>
      </c>
      <c r="N18" s="89">
        <v>6.05</v>
      </c>
      <c r="O18" s="89">
        <v>6.6</v>
      </c>
      <c r="Q18" s="89" t="s">
        <v>35</v>
      </c>
      <c r="R18" s="89">
        <v>5.3</v>
      </c>
      <c r="S18" s="89">
        <v>5.45</v>
      </c>
      <c r="T18" s="89">
        <v>5.25</v>
      </c>
      <c r="U18" s="89">
        <v>5.25</v>
      </c>
      <c r="V18" s="89">
        <v>5.0999999999999996</v>
      </c>
      <c r="W18" s="89">
        <v>5.0999999999999996</v>
      </c>
      <c r="X18" s="89">
        <v>4.95</v>
      </c>
      <c r="Y18" s="89">
        <v>4.95</v>
      </c>
      <c r="AA18" s="89" t="s">
        <v>35</v>
      </c>
      <c r="AB18" s="89">
        <v>6.3</v>
      </c>
      <c r="AC18" s="89">
        <v>6.85</v>
      </c>
      <c r="AD18" s="89">
        <v>6.65</v>
      </c>
      <c r="AE18" s="89">
        <v>7.25</v>
      </c>
      <c r="AF18" s="89">
        <v>6.75</v>
      </c>
      <c r="AG18" s="89">
        <v>7.35</v>
      </c>
      <c r="AH18" s="89">
        <v>6.9</v>
      </c>
      <c r="AI18" s="89">
        <v>7.55</v>
      </c>
      <c r="AK18" s="89" t="s">
        <v>35</v>
      </c>
      <c r="AL18" s="89">
        <v>5.2</v>
      </c>
      <c r="AM18" s="89">
        <v>5.2</v>
      </c>
      <c r="AN18" s="89">
        <v>5.95</v>
      </c>
      <c r="AO18" s="89">
        <v>6.25</v>
      </c>
      <c r="AP18" s="89">
        <v>6</v>
      </c>
      <c r="AQ18" s="89">
        <v>6.15</v>
      </c>
      <c r="AR18" s="89">
        <v>6</v>
      </c>
      <c r="AS18" s="89">
        <v>6</v>
      </c>
      <c r="AU18" s="89" t="s">
        <v>35</v>
      </c>
      <c r="AV18" s="89">
        <v>7.45</v>
      </c>
      <c r="AW18" s="89">
        <v>8.1</v>
      </c>
      <c r="AX18" s="89">
        <v>7.65</v>
      </c>
      <c r="AY18" s="89">
        <v>8.35</v>
      </c>
      <c r="AZ18" s="89">
        <v>7.7</v>
      </c>
      <c r="BA18" s="89">
        <v>8.4499999999999993</v>
      </c>
      <c r="BB18" s="89">
        <v>7.85</v>
      </c>
      <c r="BC18" s="89">
        <v>8.6</v>
      </c>
      <c r="BE18" s="89" t="s">
        <v>35</v>
      </c>
      <c r="BF18" s="89">
        <v>6.05</v>
      </c>
      <c r="BG18" s="89">
        <v>6.05</v>
      </c>
      <c r="BH18" s="89">
        <v>5.9</v>
      </c>
      <c r="BI18" s="89">
        <v>5.9</v>
      </c>
      <c r="BJ18" s="89">
        <v>5.75</v>
      </c>
      <c r="BK18" s="89">
        <v>5.75</v>
      </c>
      <c r="BL18" s="89">
        <v>5.6</v>
      </c>
      <c r="BM18" s="89">
        <v>5.6</v>
      </c>
    </row>
    <row r="19" spans="7:65" hidden="1" x14ac:dyDescent="0.2">
      <c r="G19" s="89" t="s">
        <v>36</v>
      </c>
      <c r="H19" s="89">
        <v>5.25</v>
      </c>
      <c r="I19" s="89">
        <v>5.7</v>
      </c>
      <c r="J19" s="89">
        <v>5.45</v>
      </c>
      <c r="K19" s="89">
        <v>5.95</v>
      </c>
      <c r="L19" s="89">
        <v>5.65</v>
      </c>
      <c r="M19" s="89">
        <v>6.15</v>
      </c>
      <c r="N19" s="89">
        <v>5.8</v>
      </c>
      <c r="O19" s="89">
        <v>6.35</v>
      </c>
      <c r="Q19" s="89" t="s">
        <v>36</v>
      </c>
      <c r="R19" s="89">
        <v>5.0999999999999996</v>
      </c>
      <c r="S19" s="89">
        <v>5.25</v>
      </c>
      <c r="T19" s="89">
        <v>5.25</v>
      </c>
      <c r="U19" s="89">
        <v>5.25</v>
      </c>
      <c r="V19" s="89">
        <v>5.0999999999999996</v>
      </c>
      <c r="W19" s="89">
        <v>5.0999999999999996</v>
      </c>
      <c r="X19" s="89">
        <v>4.95</v>
      </c>
      <c r="Y19" s="89">
        <v>4.95</v>
      </c>
      <c r="AA19" s="89" t="s">
        <v>36</v>
      </c>
      <c r="AB19" s="89">
        <v>6</v>
      </c>
      <c r="AC19" s="89">
        <v>6.55</v>
      </c>
      <c r="AD19" s="89">
        <v>6.35</v>
      </c>
      <c r="AE19" s="89">
        <v>6.95</v>
      </c>
      <c r="AF19" s="89">
        <v>6.5</v>
      </c>
      <c r="AG19" s="89">
        <v>7.1</v>
      </c>
      <c r="AH19" s="89">
        <v>6.65</v>
      </c>
      <c r="AI19" s="89">
        <v>7.25</v>
      </c>
      <c r="AK19" s="89" t="s">
        <v>36</v>
      </c>
      <c r="AL19" s="89">
        <v>5.05</v>
      </c>
      <c r="AM19" s="89">
        <v>5.2</v>
      </c>
      <c r="AN19" s="89">
        <v>5.75</v>
      </c>
      <c r="AO19" s="89">
        <v>6.1</v>
      </c>
      <c r="AP19" s="89">
        <v>5.7</v>
      </c>
      <c r="AQ19" s="89">
        <v>6</v>
      </c>
      <c r="AR19" s="89">
        <v>5.9</v>
      </c>
      <c r="AS19" s="89">
        <v>6</v>
      </c>
      <c r="AU19" s="89" t="s">
        <v>36</v>
      </c>
      <c r="AV19" s="89">
        <v>7.15</v>
      </c>
      <c r="AW19" s="89">
        <v>7.8</v>
      </c>
      <c r="AX19" s="89">
        <v>7.35</v>
      </c>
      <c r="AY19" s="89">
        <v>8.0500000000000007</v>
      </c>
      <c r="AZ19" s="89">
        <v>7.45</v>
      </c>
      <c r="BA19" s="89">
        <v>8.15</v>
      </c>
      <c r="BB19" s="89">
        <v>7.55</v>
      </c>
      <c r="BC19" s="89">
        <v>8.3000000000000007</v>
      </c>
      <c r="BE19" s="89" t="s">
        <v>36</v>
      </c>
      <c r="BF19" s="89">
        <v>6.05</v>
      </c>
      <c r="BG19" s="89">
        <v>6.05</v>
      </c>
      <c r="BH19" s="89">
        <v>5.9</v>
      </c>
      <c r="BI19" s="89">
        <v>5.9</v>
      </c>
      <c r="BJ19" s="89">
        <v>5.75</v>
      </c>
      <c r="BK19" s="89">
        <v>5.75</v>
      </c>
      <c r="BL19" s="89">
        <v>5.6</v>
      </c>
      <c r="BM19" s="89">
        <v>5.6</v>
      </c>
    </row>
    <row r="20" spans="7:65" hidden="1" x14ac:dyDescent="0.2">
      <c r="G20" s="89" t="s">
        <v>37</v>
      </c>
      <c r="H20" s="89">
        <v>5.05</v>
      </c>
      <c r="I20" s="89">
        <v>5.5</v>
      </c>
      <c r="J20" s="89">
        <v>5.25</v>
      </c>
      <c r="K20" s="89">
        <v>5.7</v>
      </c>
      <c r="L20" s="89">
        <v>5.4</v>
      </c>
      <c r="M20" s="89">
        <v>5.9</v>
      </c>
      <c r="N20" s="89">
        <v>5.6</v>
      </c>
      <c r="O20" s="89">
        <v>6.15</v>
      </c>
      <c r="Q20" s="89" t="s">
        <v>37</v>
      </c>
      <c r="R20" s="89">
        <v>4.8</v>
      </c>
      <c r="S20" s="89">
        <v>4.8</v>
      </c>
      <c r="T20" s="89">
        <v>4.9000000000000004</v>
      </c>
      <c r="U20" s="89">
        <v>5.05</v>
      </c>
      <c r="V20" s="89">
        <v>4.8499999999999996</v>
      </c>
      <c r="W20" s="89">
        <v>5.0999999999999996</v>
      </c>
      <c r="X20" s="89">
        <v>4.75</v>
      </c>
      <c r="Y20" s="89">
        <v>4.95</v>
      </c>
      <c r="AA20" s="89" t="s">
        <v>37</v>
      </c>
      <c r="AB20" s="89">
        <v>5.8</v>
      </c>
      <c r="AC20" s="89">
        <v>6.3</v>
      </c>
      <c r="AD20" s="89">
        <v>6.1</v>
      </c>
      <c r="AE20" s="89">
        <v>6.7</v>
      </c>
      <c r="AF20" s="89">
        <v>6.25</v>
      </c>
      <c r="AG20" s="89">
        <v>6.85</v>
      </c>
      <c r="AH20" s="89">
        <v>6.4</v>
      </c>
      <c r="AI20" s="89">
        <v>7.05</v>
      </c>
      <c r="AK20" s="89" t="s">
        <v>37</v>
      </c>
      <c r="AL20" s="89">
        <v>4.9000000000000004</v>
      </c>
      <c r="AM20" s="89">
        <v>5.2</v>
      </c>
      <c r="AN20" s="89">
        <v>5.6</v>
      </c>
      <c r="AO20" s="89">
        <v>5.9</v>
      </c>
      <c r="AQ20" s="89">
        <v>6.15</v>
      </c>
      <c r="AR20" s="89">
        <v>5.7</v>
      </c>
      <c r="AS20" s="89">
        <v>6</v>
      </c>
      <c r="AU20" s="89" t="s">
        <v>37</v>
      </c>
      <c r="AV20" s="89">
        <v>6.9</v>
      </c>
      <c r="AW20" s="89">
        <v>7.55</v>
      </c>
      <c r="AX20" s="89">
        <v>7.05</v>
      </c>
      <c r="AY20" s="89">
        <v>7.8</v>
      </c>
      <c r="AZ20" s="89">
        <v>7.2</v>
      </c>
      <c r="BA20" s="89">
        <v>7.9</v>
      </c>
      <c r="BB20" s="89">
        <v>7.3</v>
      </c>
      <c r="BC20" s="89">
        <v>8.0500000000000007</v>
      </c>
      <c r="BE20" s="89" t="s">
        <v>37</v>
      </c>
      <c r="BF20" s="89">
        <v>6.05</v>
      </c>
      <c r="BG20" s="89">
        <v>6.05</v>
      </c>
      <c r="BH20" s="89">
        <v>5.8</v>
      </c>
      <c r="BI20" s="89">
        <v>5.9</v>
      </c>
      <c r="BJ20" s="89">
        <v>5.7</v>
      </c>
      <c r="BK20" s="89">
        <v>5.75</v>
      </c>
      <c r="BL20" s="89">
        <v>5.6</v>
      </c>
      <c r="BM20" s="89">
        <v>5.6</v>
      </c>
    </row>
    <row r="21" spans="7:65" hidden="1" x14ac:dyDescent="0.2">
      <c r="G21" s="89" t="s">
        <v>80</v>
      </c>
      <c r="H21" s="89">
        <v>4.6500000000000004</v>
      </c>
      <c r="I21" s="89">
        <v>4.6500000000000004</v>
      </c>
      <c r="J21" s="89">
        <v>4.8499999999999996</v>
      </c>
      <c r="K21" s="89">
        <v>4.8499999999999996</v>
      </c>
      <c r="L21" s="89">
        <v>5.0999999999999996</v>
      </c>
      <c r="M21" s="89">
        <v>5.0999999999999996</v>
      </c>
      <c r="N21" s="89">
        <v>5.2</v>
      </c>
      <c r="O21" s="89">
        <v>5.25</v>
      </c>
      <c r="Q21" s="89" t="s">
        <v>80</v>
      </c>
      <c r="R21" s="89">
        <v>4.2</v>
      </c>
      <c r="S21" s="89">
        <v>4.2</v>
      </c>
      <c r="T21" s="89">
        <v>4.25</v>
      </c>
      <c r="U21" s="89">
        <v>4.25</v>
      </c>
      <c r="V21" s="89">
        <v>4.6500000000000004</v>
      </c>
      <c r="W21" s="89">
        <v>4.6500000000000004</v>
      </c>
      <c r="X21" s="89">
        <v>4.6500000000000004</v>
      </c>
      <c r="Y21" s="89">
        <v>4.6500000000000004</v>
      </c>
      <c r="AA21" s="89" t="s">
        <v>80</v>
      </c>
      <c r="AB21" s="89">
        <v>5.45</v>
      </c>
      <c r="AC21" s="89">
        <v>6</v>
      </c>
      <c r="AD21" s="89">
        <v>5.75</v>
      </c>
      <c r="AE21" s="89">
        <v>6.3</v>
      </c>
      <c r="AF21" s="89">
        <v>5.9</v>
      </c>
      <c r="AG21" s="89">
        <v>5.64</v>
      </c>
      <c r="AH21" s="89">
        <v>5.25</v>
      </c>
      <c r="AI21" s="89">
        <v>5.65</v>
      </c>
      <c r="AK21" s="89" t="s">
        <v>80</v>
      </c>
      <c r="AL21" s="89">
        <v>4.9000000000000004</v>
      </c>
      <c r="AM21" s="89">
        <v>4.9000000000000004</v>
      </c>
      <c r="AN21" s="89">
        <v>5.55</v>
      </c>
      <c r="AO21" s="89">
        <v>5.8</v>
      </c>
      <c r="AP21" s="89">
        <v>5.65</v>
      </c>
      <c r="AQ21" s="89">
        <v>5.9</v>
      </c>
      <c r="AR21" s="89">
        <v>5.5</v>
      </c>
      <c r="AS21" s="89">
        <v>5.8</v>
      </c>
      <c r="AU21" s="89" t="s">
        <v>80</v>
      </c>
      <c r="AV21" s="89">
        <v>6.7</v>
      </c>
      <c r="AW21" s="89">
        <v>7.15</v>
      </c>
      <c r="AX21" s="89">
        <v>6.65</v>
      </c>
      <c r="AY21" s="89">
        <v>7.65</v>
      </c>
      <c r="AZ21" s="89">
        <v>6.9</v>
      </c>
      <c r="BA21" s="89">
        <v>7.55</v>
      </c>
      <c r="BB21" s="89">
        <v>7</v>
      </c>
      <c r="BC21" s="89">
        <v>7.95</v>
      </c>
      <c r="BE21" s="89" t="s">
        <v>80</v>
      </c>
      <c r="BF21" s="89">
        <v>5.7</v>
      </c>
      <c r="BG21" s="89">
        <v>5.9</v>
      </c>
      <c r="BH21" s="89">
        <v>5.65</v>
      </c>
      <c r="BI21" s="89">
        <v>5.9</v>
      </c>
      <c r="BJ21" s="89">
        <v>5.6</v>
      </c>
      <c r="BK21" s="89">
        <v>5.75</v>
      </c>
      <c r="BL21" s="89">
        <v>5.5</v>
      </c>
      <c r="BM21" s="89">
        <v>5.6</v>
      </c>
    </row>
    <row r="22" spans="7:65" hidden="1" x14ac:dyDescent="0.2">
      <c r="G22" s="89" t="s">
        <v>38</v>
      </c>
      <c r="H22" s="89">
        <v>4.45</v>
      </c>
      <c r="I22" s="89">
        <v>4.45</v>
      </c>
      <c r="J22" s="89">
        <v>4.6500000000000004</v>
      </c>
      <c r="K22" s="89">
        <v>4.6500000000000004</v>
      </c>
      <c r="L22" s="89">
        <v>4.9000000000000004</v>
      </c>
      <c r="M22" s="89">
        <v>4.9000000000000004</v>
      </c>
      <c r="N22" s="89">
        <v>5.0999999999999996</v>
      </c>
      <c r="O22" s="89">
        <v>5.15</v>
      </c>
      <c r="Q22" s="89" t="s">
        <v>38</v>
      </c>
      <c r="R22" s="89">
        <v>3.8</v>
      </c>
      <c r="S22" s="89">
        <v>3.8</v>
      </c>
      <c r="T22" s="89">
        <v>4.05</v>
      </c>
      <c r="U22" s="89">
        <v>4.05</v>
      </c>
      <c r="V22" s="89">
        <v>4.25</v>
      </c>
      <c r="W22" s="89">
        <v>4.25</v>
      </c>
      <c r="X22" s="89">
        <v>4.45</v>
      </c>
      <c r="Y22" s="89">
        <v>4.45</v>
      </c>
      <c r="AA22" s="89" t="s">
        <v>38</v>
      </c>
      <c r="AB22" s="89">
        <v>5.25</v>
      </c>
      <c r="AC22" s="89">
        <v>5.75</v>
      </c>
      <c r="AD22" s="89">
        <v>5.55</v>
      </c>
      <c r="AE22" s="89">
        <v>6.1</v>
      </c>
      <c r="AF22" s="89">
        <v>5.7</v>
      </c>
      <c r="AG22" s="89">
        <v>6.25</v>
      </c>
      <c r="AH22" s="89">
        <v>5.05</v>
      </c>
      <c r="AI22" s="89">
        <v>6.45</v>
      </c>
      <c r="AK22" s="89" t="s">
        <v>38</v>
      </c>
      <c r="AL22" s="89">
        <v>4.7</v>
      </c>
      <c r="AM22" s="89">
        <v>4.7</v>
      </c>
      <c r="AN22" s="89">
        <v>5.25</v>
      </c>
      <c r="AO22" s="89">
        <v>5.55</v>
      </c>
      <c r="AP22" s="89">
        <v>5.3</v>
      </c>
      <c r="AQ22" s="89">
        <v>5.6</v>
      </c>
      <c r="AR22" s="89">
        <v>5.3</v>
      </c>
      <c r="AS22" s="89">
        <v>5.6</v>
      </c>
      <c r="AU22" s="89" t="s">
        <v>38</v>
      </c>
      <c r="AV22" s="89">
        <v>6.3</v>
      </c>
      <c r="AW22" s="89">
        <v>6.95</v>
      </c>
      <c r="AX22" s="89">
        <v>6.45</v>
      </c>
      <c r="AY22" s="89">
        <v>7.15</v>
      </c>
      <c r="AZ22" s="89">
        <v>6.6</v>
      </c>
      <c r="BA22" s="89">
        <v>7.25</v>
      </c>
      <c r="BB22" s="89">
        <v>6.7</v>
      </c>
      <c r="BC22" s="89">
        <v>7.45</v>
      </c>
      <c r="BE22" s="89" t="s">
        <v>38</v>
      </c>
      <c r="BF22" s="89">
        <v>5.5</v>
      </c>
      <c r="BG22" s="89">
        <v>5.8</v>
      </c>
      <c r="BH22" s="89">
        <v>5.45</v>
      </c>
      <c r="BI22" s="89">
        <v>5.75</v>
      </c>
      <c r="BJ22" s="89">
        <v>5.4</v>
      </c>
      <c r="BK22" s="89">
        <v>5.65</v>
      </c>
      <c r="BL22" s="89">
        <v>5.3</v>
      </c>
      <c r="BM22" s="89">
        <v>5.6</v>
      </c>
    </row>
    <row r="23" spans="7:65" hidden="1" x14ac:dyDescent="0.2">
      <c r="G23" s="89" t="s">
        <v>39</v>
      </c>
      <c r="H23" s="89">
        <v>3.9</v>
      </c>
      <c r="I23" s="89">
        <v>3.9</v>
      </c>
      <c r="J23" s="89">
        <v>4.1500000000000004</v>
      </c>
      <c r="K23" s="89">
        <v>4.1500000000000004</v>
      </c>
      <c r="L23" s="89">
        <v>4.3499999999999996</v>
      </c>
      <c r="M23" s="89">
        <v>4.3499999999999996</v>
      </c>
      <c r="N23" s="89">
        <v>4.55</v>
      </c>
      <c r="O23" s="89">
        <v>4.55</v>
      </c>
      <c r="Q23" s="89" t="s">
        <v>39</v>
      </c>
      <c r="R23" s="89">
        <v>3.35</v>
      </c>
      <c r="S23" s="89">
        <v>3.35</v>
      </c>
      <c r="T23" s="89">
        <v>3.55</v>
      </c>
      <c r="U23" s="89">
        <v>3.55</v>
      </c>
      <c r="V23" s="89">
        <v>3.75</v>
      </c>
      <c r="W23" s="89">
        <v>3.75</v>
      </c>
      <c r="X23" s="89">
        <v>4</v>
      </c>
      <c r="Y23" s="89">
        <v>4</v>
      </c>
      <c r="AA23" s="89" t="s">
        <v>39</v>
      </c>
      <c r="AB23" s="89">
        <v>4.95</v>
      </c>
      <c r="AC23" s="89">
        <v>5.45</v>
      </c>
      <c r="AD23" s="89">
        <v>5.25</v>
      </c>
      <c r="AE23" s="89">
        <v>5.8</v>
      </c>
      <c r="AF23" s="89">
        <v>5.4</v>
      </c>
      <c r="AG23" s="89">
        <v>6</v>
      </c>
      <c r="AH23" s="89">
        <v>5.55</v>
      </c>
      <c r="AI23" s="89">
        <v>6.15</v>
      </c>
      <c r="AK23" s="89" t="s">
        <v>39</v>
      </c>
      <c r="AL23" s="89">
        <v>4.1500000000000004</v>
      </c>
      <c r="AM23" s="89">
        <v>4.1500000000000004</v>
      </c>
      <c r="AN23" s="89">
        <v>5</v>
      </c>
      <c r="AO23" s="89">
        <v>5.3</v>
      </c>
      <c r="AP23" s="89">
        <v>5.05</v>
      </c>
      <c r="AQ23" s="89">
        <v>5.35</v>
      </c>
      <c r="AR23" s="89">
        <v>5.05</v>
      </c>
      <c r="AS23" s="89">
        <v>5.35</v>
      </c>
      <c r="AU23" s="89" t="s">
        <v>39</v>
      </c>
      <c r="AV23" s="89">
        <v>6</v>
      </c>
      <c r="AW23" s="89">
        <v>6.62</v>
      </c>
      <c r="AX23" s="89">
        <v>6.15</v>
      </c>
      <c r="AY23" s="89">
        <v>6.8</v>
      </c>
      <c r="AZ23" s="89">
        <v>6.25</v>
      </c>
      <c r="BA23" s="89">
        <v>6.95</v>
      </c>
      <c r="BB23" s="89">
        <v>6.4</v>
      </c>
      <c r="BC23" s="89">
        <v>7.1</v>
      </c>
      <c r="BE23" s="89" t="s">
        <v>39</v>
      </c>
      <c r="BF23" s="89">
        <v>5.3</v>
      </c>
      <c r="BG23" s="89">
        <v>5.6</v>
      </c>
      <c r="BH23" s="89">
        <v>5.25</v>
      </c>
      <c r="BI23" s="89">
        <v>5.5</v>
      </c>
      <c r="BJ23" s="89">
        <v>5.2</v>
      </c>
      <c r="BK23" s="89">
        <v>5.5</v>
      </c>
      <c r="BL23" s="89">
        <v>5.15</v>
      </c>
      <c r="BM23" s="89">
        <v>5.4</v>
      </c>
    </row>
    <row r="24" spans="7:65" s="84" customFormat="1" hidden="1" x14ac:dyDescent="0.2">
      <c r="G24" s="84" t="s">
        <v>162</v>
      </c>
      <c r="H24" s="84">
        <v>5.75</v>
      </c>
      <c r="I24" s="84">
        <v>6</v>
      </c>
      <c r="J24" s="84">
        <v>5.9</v>
      </c>
      <c r="K24" s="84">
        <v>6.2</v>
      </c>
      <c r="L24" s="84">
        <v>6.1</v>
      </c>
      <c r="M24" s="84">
        <v>6.4</v>
      </c>
      <c r="N24" s="84">
        <v>6.25</v>
      </c>
      <c r="O24" s="84">
        <v>6.6</v>
      </c>
      <c r="Q24" s="84" t="s">
        <v>162</v>
      </c>
      <c r="R24" s="84">
        <v>5.3</v>
      </c>
      <c r="S24" s="84">
        <v>5.45</v>
      </c>
      <c r="T24" s="84">
        <v>5.2</v>
      </c>
      <c r="U24" s="84">
        <v>5.25</v>
      </c>
      <c r="V24" s="84">
        <v>5</v>
      </c>
      <c r="W24" s="84">
        <v>5.0999999999999996</v>
      </c>
      <c r="X24" s="84">
        <v>4.9000000000000004</v>
      </c>
      <c r="Y24" s="84">
        <v>4.95</v>
      </c>
      <c r="AA24" s="84" t="s">
        <v>162</v>
      </c>
      <c r="AB24" s="84">
        <v>6.55</v>
      </c>
      <c r="AC24" s="84">
        <v>6.85</v>
      </c>
      <c r="AD24" s="84">
        <v>6.9</v>
      </c>
      <c r="AE24" s="84">
        <v>7.3</v>
      </c>
      <c r="AF24" s="84">
        <v>7</v>
      </c>
      <c r="AG24" s="84">
        <v>7.4</v>
      </c>
      <c r="AH24" s="84">
        <v>7.15</v>
      </c>
      <c r="AI24" s="84">
        <v>7.6</v>
      </c>
      <c r="AK24" s="84" t="s">
        <v>162</v>
      </c>
      <c r="AL24" s="84">
        <v>5.2</v>
      </c>
      <c r="AM24" s="84">
        <v>5.2</v>
      </c>
      <c r="AN24" s="84">
        <v>5.9</v>
      </c>
      <c r="AO24" s="84">
        <v>6.2</v>
      </c>
      <c r="AP24" s="84">
        <v>5.95</v>
      </c>
      <c r="AQ24" s="84">
        <v>6.15</v>
      </c>
      <c r="AR24" s="84">
        <v>5.9</v>
      </c>
      <c r="AS24" s="84">
        <v>6</v>
      </c>
      <c r="AU24" s="84" t="s">
        <v>162</v>
      </c>
      <c r="AV24" s="84">
        <v>7.7</v>
      </c>
      <c r="AW24" s="84">
        <v>8.15</v>
      </c>
      <c r="AX24" s="84">
        <v>7.85</v>
      </c>
      <c r="AY24" s="84">
        <v>8.3000000000000007</v>
      </c>
      <c r="AZ24" s="84">
        <v>7.95</v>
      </c>
      <c r="BA24" s="84">
        <v>8.4499999999999993</v>
      </c>
      <c r="BB24" s="84">
        <v>8.0500000000000007</v>
      </c>
      <c r="BC24" s="84">
        <v>8.6</v>
      </c>
      <c r="BE24" s="84" t="s">
        <v>162</v>
      </c>
      <c r="BF24" s="84">
        <v>6.05</v>
      </c>
      <c r="BG24" s="84">
        <v>6.05</v>
      </c>
      <c r="BH24" s="84">
        <v>5.9</v>
      </c>
      <c r="BI24" s="84">
        <v>5.9</v>
      </c>
      <c r="BJ24" s="84">
        <v>5.75</v>
      </c>
      <c r="BK24" s="84">
        <v>5.75</v>
      </c>
      <c r="BL24" s="84">
        <v>5.6</v>
      </c>
      <c r="BM24" s="84">
        <v>5.6</v>
      </c>
    </row>
    <row r="25" spans="7:65" hidden="1" x14ac:dyDescent="0.2">
      <c r="G25" s="89" t="s">
        <v>40</v>
      </c>
      <c r="H25" s="89">
        <v>4.45</v>
      </c>
      <c r="I25" s="89">
        <v>5.7</v>
      </c>
      <c r="J25" s="89">
        <v>5.6</v>
      </c>
      <c r="K25" s="89">
        <v>5.95</v>
      </c>
      <c r="L25" s="89">
        <v>5.2</v>
      </c>
      <c r="M25" s="89">
        <v>6.15</v>
      </c>
      <c r="N25" s="89">
        <v>6</v>
      </c>
      <c r="O25" s="89">
        <v>6.35</v>
      </c>
      <c r="Q25" s="89" t="s">
        <v>40</v>
      </c>
      <c r="R25" s="89">
        <v>5.15</v>
      </c>
      <c r="S25" s="89">
        <v>5.15</v>
      </c>
      <c r="T25" s="89">
        <v>5.05</v>
      </c>
      <c r="U25" s="89">
        <v>5.25</v>
      </c>
      <c r="V25" s="89">
        <v>5</v>
      </c>
      <c r="W25" s="89">
        <v>5.0999999999999996</v>
      </c>
      <c r="X25" s="89">
        <v>4.9000000000000004</v>
      </c>
      <c r="Y25" s="89">
        <v>4.95</v>
      </c>
      <c r="AA25" s="89" t="s">
        <v>40</v>
      </c>
      <c r="AB25" s="89">
        <v>6.2</v>
      </c>
      <c r="AC25" s="89">
        <v>6.55</v>
      </c>
      <c r="AD25" s="89">
        <v>6.35</v>
      </c>
      <c r="AE25" s="89">
        <v>7</v>
      </c>
      <c r="AF25" s="89">
        <v>6.7</v>
      </c>
      <c r="AG25" s="89">
        <v>7.1</v>
      </c>
      <c r="AH25" s="89">
        <v>6.85</v>
      </c>
      <c r="AI25" s="89">
        <v>7.3</v>
      </c>
      <c r="AK25" s="89" t="s">
        <v>40</v>
      </c>
      <c r="AL25" s="89">
        <v>5.05</v>
      </c>
      <c r="AM25" s="89">
        <v>5.2</v>
      </c>
      <c r="AN25" s="89">
        <v>5.75</v>
      </c>
      <c r="AO25" s="89">
        <v>6.1</v>
      </c>
      <c r="AP25" s="89">
        <v>5.95</v>
      </c>
      <c r="AQ25" s="89">
        <v>6.15</v>
      </c>
      <c r="AR25" s="89">
        <v>5.9</v>
      </c>
      <c r="AS25" s="89">
        <v>6</v>
      </c>
      <c r="AU25" s="89" t="s">
        <v>40</v>
      </c>
      <c r="AV25" s="89">
        <v>7.35</v>
      </c>
      <c r="AW25" s="89">
        <v>7.85</v>
      </c>
      <c r="AX25" s="89">
        <v>7.55</v>
      </c>
      <c r="AY25" s="89">
        <v>8.0500000000000007</v>
      </c>
      <c r="AZ25" s="89">
        <v>7.65</v>
      </c>
      <c r="BA25" s="89">
        <v>8.15</v>
      </c>
      <c r="BB25" s="89">
        <v>7.75</v>
      </c>
      <c r="BC25" s="89">
        <v>8.3000000000000007</v>
      </c>
      <c r="BE25" s="89" t="s">
        <v>40</v>
      </c>
      <c r="BF25" s="89">
        <v>6.05</v>
      </c>
      <c r="BG25" s="89">
        <v>6.05</v>
      </c>
      <c r="BH25" s="89">
        <v>5.9</v>
      </c>
      <c r="BI25" s="89">
        <v>5.9</v>
      </c>
      <c r="BJ25" s="89">
        <v>5.75</v>
      </c>
      <c r="BK25" s="89">
        <v>5.75</v>
      </c>
      <c r="BL25" s="89">
        <v>5.6</v>
      </c>
      <c r="BM25" s="89">
        <v>5.6</v>
      </c>
    </row>
    <row r="26" spans="7:65" hidden="1" x14ac:dyDescent="0.2">
      <c r="G26" s="89" t="s">
        <v>41</v>
      </c>
      <c r="H26" s="89">
        <v>5.2</v>
      </c>
      <c r="I26" s="89">
        <v>5.7</v>
      </c>
      <c r="J26" s="89">
        <v>5.4</v>
      </c>
      <c r="K26" s="89">
        <v>5.7</v>
      </c>
      <c r="L26" s="89">
        <v>5.55</v>
      </c>
      <c r="M26" s="89">
        <v>5.9</v>
      </c>
      <c r="N26" s="89">
        <v>5.75</v>
      </c>
      <c r="O26" s="89">
        <v>6.15</v>
      </c>
      <c r="Q26" s="89" t="s">
        <v>41</v>
      </c>
      <c r="R26" s="89">
        <v>4.7</v>
      </c>
      <c r="S26" s="89">
        <v>4.7</v>
      </c>
      <c r="T26" s="89">
        <v>4.9000000000000004</v>
      </c>
      <c r="U26" s="89">
        <v>4.97</v>
      </c>
      <c r="V26" s="89">
        <v>4.8499999999999996</v>
      </c>
      <c r="W26" s="89">
        <v>5.0999999999999996</v>
      </c>
      <c r="X26" s="89">
        <v>4.75</v>
      </c>
      <c r="Y26" s="89">
        <v>4.95</v>
      </c>
      <c r="AA26" s="89" t="s">
        <v>41</v>
      </c>
      <c r="AB26" s="89">
        <v>5.95</v>
      </c>
      <c r="AC26" s="89">
        <v>6.3</v>
      </c>
      <c r="AD26" s="89">
        <v>6.3</v>
      </c>
      <c r="AE26" s="89">
        <v>6.7</v>
      </c>
      <c r="AF26" s="89">
        <v>6.4</v>
      </c>
      <c r="AG26" s="89">
        <v>6.85</v>
      </c>
      <c r="AH26" s="89">
        <v>6.55</v>
      </c>
      <c r="AI26" s="89">
        <v>7.05</v>
      </c>
      <c r="AK26" s="89" t="s">
        <v>41</v>
      </c>
      <c r="AL26" s="89">
        <v>4.9000000000000004</v>
      </c>
      <c r="AM26" s="89">
        <v>5.2</v>
      </c>
      <c r="AN26" s="89">
        <v>5.6</v>
      </c>
      <c r="AO26" s="89">
        <v>5.9</v>
      </c>
      <c r="AP26" s="89">
        <v>5.65</v>
      </c>
      <c r="AQ26" s="89">
        <v>6</v>
      </c>
      <c r="AR26" s="89">
        <v>5.6</v>
      </c>
      <c r="AS26" s="89">
        <v>5.9</v>
      </c>
      <c r="AU26" s="89" t="s">
        <v>41</v>
      </c>
      <c r="AV26" s="89">
        <v>7.05</v>
      </c>
      <c r="AW26" s="89">
        <v>7.55</v>
      </c>
      <c r="AX26" s="89">
        <v>7.25</v>
      </c>
      <c r="AY26" s="89">
        <v>7.8</v>
      </c>
      <c r="AZ26" s="89">
        <v>7.35</v>
      </c>
      <c r="BA26" s="89">
        <v>7.9</v>
      </c>
      <c r="BB26" s="89">
        <v>7.5</v>
      </c>
      <c r="BC26" s="89">
        <v>8.0500000000000007</v>
      </c>
      <c r="BE26" s="89" t="s">
        <v>41</v>
      </c>
      <c r="BF26" s="89">
        <v>6.05</v>
      </c>
      <c r="BG26" s="89">
        <v>6.05</v>
      </c>
      <c r="BH26" s="89">
        <v>5.9</v>
      </c>
      <c r="BI26" s="89">
        <v>5.9</v>
      </c>
      <c r="BJ26" s="89">
        <v>5.75</v>
      </c>
      <c r="BK26" s="89">
        <v>5.75</v>
      </c>
      <c r="BL26" s="89">
        <v>5.6</v>
      </c>
      <c r="BM26" s="89">
        <v>5.6</v>
      </c>
    </row>
    <row r="27" spans="7:65" hidden="1" x14ac:dyDescent="0.2">
      <c r="G27" s="89" t="s">
        <v>42</v>
      </c>
      <c r="H27" s="89">
        <v>5</v>
      </c>
      <c r="I27" s="89">
        <v>5.05</v>
      </c>
      <c r="J27" s="89">
        <v>5.2</v>
      </c>
      <c r="K27" s="89">
        <v>5.3</v>
      </c>
      <c r="L27" s="89">
        <v>5.4</v>
      </c>
      <c r="M27" s="89">
        <v>5.5</v>
      </c>
      <c r="N27" s="89">
        <v>5.55</v>
      </c>
      <c r="O27" s="89">
        <v>5.75</v>
      </c>
      <c r="Q27" s="89" t="s">
        <v>42</v>
      </c>
      <c r="R27" s="89">
        <v>4.3499999999999996</v>
      </c>
      <c r="S27" s="89">
        <v>4.3499999999999996</v>
      </c>
      <c r="T27" s="89">
        <v>4.5999999999999996</v>
      </c>
      <c r="U27" s="89">
        <v>4.5999999999999996</v>
      </c>
      <c r="V27" s="89">
        <v>4.7</v>
      </c>
      <c r="W27" s="89">
        <v>4.8</v>
      </c>
      <c r="X27" s="89">
        <v>4.6500000000000004</v>
      </c>
      <c r="Y27" s="89">
        <v>4.9000000000000004</v>
      </c>
      <c r="AA27" s="89" t="s">
        <v>42</v>
      </c>
      <c r="AB27" s="89">
        <v>5.7</v>
      </c>
      <c r="AC27" s="89">
        <v>6.1</v>
      </c>
      <c r="AD27" s="89">
        <v>5.9</v>
      </c>
      <c r="AE27" s="89">
        <v>6.5</v>
      </c>
      <c r="AF27" s="89">
        <v>6.2</v>
      </c>
      <c r="AG27" s="89">
        <v>6.65</v>
      </c>
      <c r="AH27" s="89">
        <v>6.35</v>
      </c>
      <c r="AI27" s="89">
        <v>6.8</v>
      </c>
      <c r="AK27" s="89" t="s">
        <v>42</v>
      </c>
      <c r="AL27" s="89">
        <v>4.8</v>
      </c>
      <c r="AM27" s="89">
        <v>5.05</v>
      </c>
      <c r="AN27" s="89">
        <v>5.45</v>
      </c>
      <c r="AO27" s="89">
        <v>5.8</v>
      </c>
      <c r="AP27" s="89">
        <v>5.65</v>
      </c>
      <c r="AQ27" s="89">
        <v>5.95</v>
      </c>
      <c r="AR27" s="89">
        <v>5.6</v>
      </c>
      <c r="AS27" s="89">
        <v>5.9</v>
      </c>
      <c r="AU27" s="89" t="s">
        <v>42</v>
      </c>
      <c r="AV27" s="89">
        <v>6.8</v>
      </c>
      <c r="AW27" s="89">
        <v>7.3</v>
      </c>
      <c r="AX27" s="89">
        <v>7</v>
      </c>
      <c r="AY27" s="89">
        <v>7.55</v>
      </c>
      <c r="AZ27" s="89">
        <v>7.1</v>
      </c>
      <c r="BA27" s="89">
        <v>7.65</v>
      </c>
      <c r="BB27" s="89">
        <v>7.25</v>
      </c>
      <c r="BC27" s="89">
        <v>7.8</v>
      </c>
      <c r="BE27" s="89" t="s">
        <v>42</v>
      </c>
      <c r="BF27" s="89">
        <v>6.05</v>
      </c>
      <c r="BG27" s="89">
        <v>6.05</v>
      </c>
      <c r="BH27" s="89">
        <v>5.75</v>
      </c>
      <c r="BI27" s="89">
        <v>5.9</v>
      </c>
      <c r="BJ27" s="89">
        <v>5.75</v>
      </c>
      <c r="BK27" s="89">
        <v>5.75</v>
      </c>
      <c r="BL27" s="89">
        <v>5.6</v>
      </c>
      <c r="BM27" s="89">
        <v>5.6</v>
      </c>
    </row>
    <row r="28" spans="7:65" hidden="1" x14ac:dyDescent="0.2">
      <c r="G28" s="89" t="s">
        <v>43</v>
      </c>
      <c r="H28" s="89">
        <v>4.7</v>
      </c>
      <c r="I28" s="89">
        <v>4.7</v>
      </c>
      <c r="J28" s="89">
        <v>4.9000000000000004</v>
      </c>
      <c r="K28" s="89">
        <v>4.9000000000000004</v>
      </c>
      <c r="L28" s="89">
        <v>4.9000000000000004</v>
      </c>
      <c r="M28" s="89">
        <v>5.15</v>
      </c>
      <c r="N28" s="89">
        <v>5.35</v>
      </c>
      <c r="O28" s="89">
        <v>5.4</v>
      </c>
      <c r="Q28" s="89" t="s">
        <v>43</v>
      </c>
      <c r="R28" s="89">
        <v>4.05</v>
      </c>
      <c r="S28" s="89">
        <v>4.05</v>
      </c>
      <c r="T28" s="89">
        <v>4.25</v>
      </c>
      <c r="U28" s="89">
        <v>4.25</v>
      </c>
      <c r="V28" s="89">
        <v>4.5</v>
      </c>
      <c r="W28" s="89">
        <v>4.5</v>
      </c>
      <c r="X28" s="89">
        <v>4.55</v>
      </c>
      <c r="Y28" s="89">
        <v>4.7</v>
      </c>
      <c r="AA28" s="89" t="s">
        <v>43</v>
      </c>
      <c r="AB28" s="89">
        <v>5.5</v>
      </c>
      <c r="AC28" s="89">
        <v>5.9</v>
      </c>
      <c r="AD28" s="89">
        <v>5.85</v>
      </c>
      <c r="AE28" s="89">
        <v>6.3</v>
      </c>
      <c r="AF28" s="89">
        <v>6</v>
      </c>
      <c r="AG28" s="89">
        <v>6.45</v>
      </c>
      <c r="AH28" s="89">
        <v>6.15</v>
      </c>
      <c r="AI28" s="89">
        <v>6.6</v>
      </c>
      <c r="AK28" s="89" t="s">
        <v>43</v>
      </c>
      <c r="AL28" s="89">
        <v>4.7</v>
      </c>
      <c r="AM28" s="89">
        <v>4.95</v>
      </c>
      <c r="AN28" s="89">
        <v>5.3</v>
      </c>
      <c r="AO28" s="89">
        <v>5.6</v>
      </c>
      <c r="AP28" s="89">
        <v>5.5</v>
      </c>
      <c r="AQ28" s="89">
        <v>5.8</v>
      </c>
      <c r="AR28" s="89">
        <v>5.45</v>
      </c>
      <c r="AS28" s="89">
        <v>5.75</v>
      </c>
      <c r="AU28" s="89" t="s">
        <v>43</v>
      </c>
      <c r="AV28" s="89">
        <v>6.6</v>
      </c>
      <c r="AW28" s="89">
        <v>7.1</v>
      </c>
      <c r="AX28" s="89">
        <v>6.8</v>
      </c>
      <c r="AY28" s="89">
        <v>7.3</v>
      </c>
      <c r="AZ28" s="89">
        <v>6.9</v>
      </c>
      <c r="BA28" s="89">
        <v>7.45</v>
      </c>
      <c r="BB28" s="89">
        <v>7.05</v>
      </c>
      <c r="BC28" s="89">
        <v>7.6</v>
      </c>
      <c r="BE28" s="89" t="s">
        <v>43</v>
      </c>
      <c r="BF28" s="89">
        <v>6.05</v>
      </c>
      <c r="BG28" s="89">
        <v>6.05</v>
      </c>
      <c r="BH28" s="89">
        <v>5.65</v>
      </c>
      <c r="BI28" s="89">
        <v>5.9</v>
      </c>
      <c r="BJ28" s="89">
        <v>5.6</v>
      </c>
      <c r="BK28" s="89">
        <v>5.75</v>
      </c>
      <c r="BL28" s="89">
        <v>5.5</v>
      </c>
      <c r="BM28" s="89">
        <v>5.6</v>
      </c>
    </row>
    <row r="29" spans="7:65" hidden="1" x14ac:dyDescent="0.2">
      <c r="G29" s="89" t="s">
        <v>81</v>
      </c>
      <c r="H29" s="89">
        <v>4</v>
      </c>
      <c r="I29" s="89">
        <v>4</v>
      </c>
      <c r="J29" s="89">
        <v>4.25</v>
      </c>
      <c r="K29" s="89">
        <v>4.25</v>
      </c>
      <c r="L29" s="89">
        <v>4.5</v>
      </c>
      <c r="M29" s="89">
        <v>4.5</v>
      </c>
      <c r="N29" s="89">
        <v>4.7</v>
      </c>
      <c r="O29" s="89">
        <v>4.7</v>
      </c>
      <c r="Q29" s="89" t="s">
        <v>81</v>
      </c>
      <c r="R29" s="89">
        <v>3.55</v>
      </c>
      <c r="S29" s="89">
        <v>3.55</v>
      </c>
      <c r="T29" s="89">
        <v>3.8</v>
      </c>
      <c r="U29" s="89">
        <v>3.8</v>
      </c>
      <c r="V29" s="89">
        <v>3.95</v>
      </c>
      <c r="W29" s="89">
        <v>3.95</v>
      </c>
      <c r="X29" s="89">
        <v>4.1500000000000004</v>
      </c>
      <c r="Y29" s="89">
        <v>4.1500000000000004</v>
      </c>
      <c r="AA29" s="89" t="s">
        <v>81</v>
      </c>
      <c r="AB29" s="89">
        <v>5.25</v>
      </c>
      <c r="AC29" s="89">
        <v>5.65</v>
      </c>
      <c r="AD29" s="89">
        <v>5.4</v>
      </c>
      <c r="AE29" s="89">
        <v>6</v>
      </c>
      <c r="AF29" s="89">
        <v>5.7</v>
      </c>
      <c r="AG29" s="89">
        <v>6.05</v>
      </c>
      <c r="AH29" s="89">
        <v>5.85</v>
      </c>
      <c r="AI29" s="89">
        <v>6.35</v>
      </c>
      <c r="AK29" s="89" t="s">
        <v>81</v>
      </c>
      <c r="AL29" s="89">
        <v>4.5999999999999996</v>
      </c>
      <c r="AM29" s="89">
        <v>4.7</v>
      </c>
      <c r="AN29" s="89">
        <v>5.25</v>
      </c>
      <c r="AO29" s="89">
        <v>5.55</v>
      </c>
      <c r="AP29" s="89">
        <v>5.35</v>
      </c>
      <c r="AQ29" s="89">
        <v>5.6</v>
      </c>
      <c r="AR29" s="89">
        <v>5.35</v>
      </c>
      <c r="AS29" s="89">
        <v>5.6</v>
      </c>
      <c r="AU29" s="89" t="s">
        <v>81</v>
      </c>
      <c r="AV29" s="89">
        <v>6.4</v>
      </c>
      <c r="AW29" s="89">
        <v>6.85</v>
      </c>
      <c r="AX29" s="89">
        <v>6.65</v>
      </c>
      <c r="AY29" s="89">
        <v>7</v>
      </c>
      <c r="AZ29" s="89">
        <v>6.65</v>
      </c>
      <c r="BA29" s="89">
        <v>7.15</v>
      </c>
      <c r="BB29" s="89">
        <v>6.9</v>
      </c>
      <c r="BC29" s="89">
        <v>7.4</v>
      </c>
      <c r="BE29" s="89" t="s">
        <v>81</v>
      </c>
      <c r="BF29" s="89">
        <v>5.7</v>
      </c>
      <c r="BG29" s="89">
        <v>5.85</v>
      </c>
      <c r="BH29" s="89">
        <v>5.55</v>
      </c>
      <c r="BI29" s="89">
        <v>5.85</v>
      </c>
      <c r="BJ29" s="89">
        <v>5.5</v>
      </c>
      <c r="BK29" s="89">
        <v>5.75</v>
      </c>
      <c r="BL29" s="89">
        <v>5.45</v>
      </c>
      <c r="BM29" s="89">
        <v>5.6</v>
      </c>
    </row>
    <row r="30" spans="7:65" hidden="1" x14ac:dyDescent="0.2">
      <c r="G30" s="89" t="s">
        <v>44</v>
      </c>
      <c r="H30" s="89">
        <v>3.85</v>
      </c>
      <c r="I30" s="89">
        <v>3.85</v>
      </c>
      <c r="J30" s="89">
        <v>4.05</v>
      </c>
      <c r="K30" s="89">
        <v>4.05</v>
      </c>
      <c r="L30" s="89">
        <v>4.3</v>
      </c>
      <c r="M30" s="89">
        <v>4.3</v>
      </c>
      <c r="N30" s="89">
        <v>4.5</v>
      </c>
      <c r="O30" s="89">
        <v>4.5</v>
      </c>
      <c r="Q30" s="89" t="s">
        <v>44</v>
      </c>
      <c r="R30" s="89">
        <v>3.3</v>
      </c>
      <c r="S30" s="89">
        <v>3.3</v>
      </c>
      <c r="T30" s="89">
        <v>3.5</v>
      </c>
      <c r="U30" s="89">
        <v>3.5</v>
      </c>
      <c r="V30" s="89">
        <v>3.75</v>
      </c>
      <c r="W30" s="89">
        <v>3.75</v>
      </c>
      <c r="X30" s="89">
        <v>3.95</v>
      </c>
      <c r="Y30" s="89">
        <v>3.95</v>
      </c>
      <c r="AA30" s="89" t="s">
        <v>44</v>
      </c>
      <c r="AB30" s="89">
        <v>5.05</v>
      </c>
      <c r="AC30" s="89">
        <v>5.45</v>
      </c>
      <c r="AD30" s="89">
        <v>5.2</v>
      </c>
      <c r="AE30" s="89">
        <v>5.8</v>
      </c>
      <c r="AF30" s="89">
        <v>5.5</v>
      </c>
      <c r="AG30" s="89">
        <v>5.95</v>
      </c>
      <c r="AH30" s="89">
        <v>5.65</v>
      </c>
      <c r="AI30" s="89">
        <v>6.15</v>
      </c>
      <c r="AK30" s="89" t="s">
        <v>44</v>
      </c>
      <c r="AL30" s="89">
        <v>4.0999999999999996</v>
      </c>
      <c r="AM30" s="89">
        <v>4.0999999999999996</v>
      </c>
      <c r="AN30" s="89">
        <v>5.05</v>
      </c>
      <c r="AO30" s="89">
        <v>5.35</v>
      </c>
      <c r="AP30" s="89">
        <v>5.15</v>
      </c>
      <c r="AQ30" s="89">
        <v>5.4</v>
      </c>
      <c r="AR30" s="89">
        <v>5.15</v>
      </c>
      <c r="AS30" s="89">
        <v>5.4</v>
      </c>
      <c r="AU30" s="89" t="s">
        <v>44</v>
      </c>
      <c r="AV30" s="89">
        <v>6.05</v>
      </c>
      <c r="AW30" s="89">
        <v>6.6</v>
      </c>
      <c r="AX30" s="89">
        <v>6.25</v>
      </c>
      <c r="AY30" s="89">
        <v>6.8</v>
      </c>
      <c r="AZ30" s="89">
        <v>6.35</v>
      </c>
      <c r="BA30" s="89">
        <v>6.95</v>
      </c>
      <c r="BB30" s="89">
        <v>6.5</v>
      </c>
      <c r="BC30" s="89">
        <v>7.1</v>
      </c>
      <c r="BE30" s="89" t="s">
        <v>44</v>
      </c>
      <c r="BF30" s="89">
        <v>5.4</v>
      </c>
      <c r="BG30" s="89">
        <v>5.7</v>
      </c>
      <c r="BH30" s="89">
        <v>5.35</v>
      </c>
      <c r="BI30" s="89">
        <v>5.65</v>
      </c>
      <c r="BJ30" s="89">
        <v>5.3</v>
      </c>
      <c r="BK30" s="89">
        <v>5.6</v>
      </c>
      <c r="BL30" s="89">
        <v>5.25</v>
      </c>
      <c r="BM30" s="89">
        <v>5.55</v>
      </c>
    </row>
    <row r="31" spans="7:65" hidden="1" x14ac:dyDescent="0.2">
      <c r="G31" s="89" t="s">
        <v>67</v>
      </c>
      <c r="H31" s="89">
        <v>2.95</v>
      </c>
      <c r="I31" s="89">
        <v>2.95</v>
      </c>
      <c r="J31" s="89">
        <v>3.15</v>
      </c>
      <c r="K31" s="89">
        <v>3.15</v>
      </c>
      <c r="L31" s="89">
        <v>3.35</v>
      </c>
      <c r="M31" s="89">
        <v>3.35</v>
      </c>
      <c r="N31" s="89">
        <v>3.55</v>
      </c>
      <c r="O31" s="89">
        <v>3.55</v>
      </c>
      <c r="Q31" s="89" t="s">
        <v>67</v>
      </c>
      <c r="R31" s="89">
        <v>2.95</v>
      </c>
      <c r="S31" s="89">
        <v>2.95</v>
      </c>
      <c r="T31" s="89">
        <v>3.15</v>
      </c>
      <c r="U31" s="89">
        <v>3.15</v>
      </c>
      <c r="V31" s="89">
        <v>3.35</v>
      </c>
      <c r="W31" s="89">
        <v>3.35</v>
      </c>
      <c r="X31" s="89">
        <v>3.55</v>
      </c>
      <c r="Y31" s="89">
        <v>3.55</v>
      </c>
      <c r="AA31" s="89" t="s">
        <v>67</v>
      </c>
      <c r="AB31" s="89">
        <v>4.8</v>
      </c>
      <c r="AC31" s="89">
        <v>4.9000000000000004</v>
      </c>
      <c r="AD31" s="89">
        <v>5.0999999999999996</v>
      </c>
      <c r="AE31" s="89">
        <v>5.55</v>
      </c>
      <c r="AF31" s="89">
        <v>5.25</v>
      </c>
      <c r="AG31" s="89">
        <v>5.7</v>
      </c>
      <c r="AH31" s="89">
        <v>5.4</v>
      </c>
      <c r="AI31" s="89">
        <v>5.9</v>
      </c>
      <c r="AK31" s="89" t="s">
        <v>67</v>
      </c>
      <c r="AL31" s="89">
        <v>3.7</v>
      </c>
      <c r="AM31" s="89">
        <v>3.7</v>
      </c>
      <c r="AN31" s="89">
        <v>4.8499999999999996</v>
      </c>
      <c r="AO31" s="89">
        <v>5.0999999999999996</v>
      </c>
      <c r="AP31" s="89">
        <v>4.95</v>
      </c>
      <c r="AQ31" s="89">
        <v>5.2</v>
      </c>
      <c r="AR31" s="89">
        <v>5</v>
      </c>
      <c r="AS31" s="89">
        <v>5.2</v>
      </c>
      <c r="AU31" s="89" t="s">
        <v>67</v>
      </c>
      <c r="AV31" s="89">
        <v>5.8</v>
      </c>
      <c r="AW31" s="89">
        <v>6.3</v>
      </c>
      <c r="AX31" s="89">
        <v>6</v>
      </c>
      <c r="AY31" s="89">
        <v>6.55</v>
      </c>
      <c r="AZ31" s="89">
        <v>6.1</v>
      </c>
      <c r="BA31" s="89">
        <v>6.65</v>
      </c>
      <c r="BB31" s="89">
        <v>6.25</v>
      </c>
      <c r="BC31" s="89">
        <v>6.75</v>
      </c>
      <c r="BE31" s="89" t="s">
        <v>67</v>
      </c>
      <c r="BF31" s="89">
        <v>5.2</v>
      </c>
      <c r="BG31" s="89">
        <v>5.5</v>
      </c>
      <c r="BH31" s="89">
        <v>5.2</v>
      </c>
      <c r="BI31" s="89">
        <v>5.45</v>
      </c>
      <c r="BJ31" s="89">
        <v>5.15</v>
      </c>
      <c r="BK31" s="89">
        <v>5.4</v>
      </c>
      <c r="BL31" s="89">
        <v>5.0999999999999996</v>
      </c>
      <c r="BM31" s="89">
        <v>5.35</v>
      </c>
    </row>
    <row r="32" spans="7:65" hidden="1" x14ac:dyDescent="0.2">
      <c r="G32" s="89" t="s">
        <v>163</v>
      </c>
      <c r="H32" s="89">
        <v>4.9000000000000004</v>
      </c>
      <c r="I32" s="89">
        <v>4.9000000000000004</v>
      </c>
      <c r="J32" s="89">
        <v>5.15</v>
      </c>
      <c r="K32" s="89">
        <v>5.15</v>
      </c>
      <c r="L32" s="89">
        <v>5.4</v>
      </c>
      <c r="M32" s="89">
        <v>5.4</v>
      </c>
      <c r="N32" s="89">
        <v>5.65</v>
      </c>
      <c r="O32" s="89">
        <v>5.65</v>
      </c>
      <c r="Q32" s="89" t="s">
        <v>163</v>
      </c>
      <c r="R32" s="89">
        <v>4.25</v>
      </c>
      <c r="S32" s="89">
        <v>4.25</v>
      </c>
      <c r="T32" s="89">
        <v>4.45</v>
      </c>
      <c r="U32" s="89">
        <v>4.45</v>
      </c>
      <c r="V32" s="89">
        <v>4.7</v>
      </c>
      <c r="W32" s="89">
        <v>4.7</v>
      </c>
      <c r="X32" s="89">
        <v>4.7</v>
      </c>
      <c r="Y32" s="89">
        <v>4.9000000000000004</v>
      </c>
      <c r="AA32" s="89" t="s">
        <v>163</v>
      </c>
      <c r="AB32" s="89">
        <v>5.9</v>
      </c>
      <c r="AC32" s="89">
        <v>6.15</v>
      </c>
      <c r="AD32" s="89">
        <v>6.3</v>
      </c>
      <c r="AE32" s="89">
        <v>6.55</v>
      </c>
      <c r="AF32" s="89">
        <v>6.45</v>
      </c>
      <c r="AG32" s="89">
        <v>6.7</v>
      </c>
      <c r="AH32" s="89">
        <v>6.6</v>
      </c>
      <c r="AI32" s="89">
        <v>6.85</v>
      </c>
      <c r="AK32" s="89" t="s">
        <v>163</v>
      </c>
      <c r="AL32" s="89">
        <v>4.9000000000000004</v>
      </c>
      <c r="AM32" s="89">
        <v>5.2</v>
      </c>
      <c r="AN32" s="89">
        <v>5.65</v>
      </c>
      <c r="AO32" s="89">
        <v>6</v>
      </c>
      <c r="AP32" s="89">
        <v>5.65</v>
      </c>
      <c r="AQ32" s="89">
        <v>5.95</v>
      </c>
      <c r="AR32" s="89">
        <v>5.6</v>
      </c>
      <c r="AS32" s="89">
        <v>5.9</v>
      </c>
      <c r="AU32" s="89" t="s">
        <v>163</v>
      </c>
      <c r="AV32" s="89">
        <v>7.1</v>
      </c>
      <c r="AW32" s="89">
        <v>7.35</v>
      </c>
      <c r="AX32" s="89">
        <v>7.25</v>
      </c>
      <c r="AY32" s="89">
        <v>7.55</v>
      </c>
      <c r="AZ32" s="89">
        <v>7.35</v>
      </c>
      <c r="BA32" s="89">
        <v>7.7</v>
      </c>
      <c r="BB32" s="89">
        <v>7.4</v>
      </c>
      <c r="BC32" s="89">
        <v>7.85</v>
      </c>
      <c r="BE32" s="89" t="s">
        <v>163</v>
      </c>
      <c r="BF32" s="89">
        <v>5.85</v>
      </c>
      <c r="BG32" s="89">
        <v>6.05</v>
      </c>
      <c r="BH32" s="89">
        <v>5.75</v>
      </c>
      <c r="BI32" s="89">
        <v>5.9</v>
      </c>
      <c r="BJ32" s="89">
        <v>5.7</v>
      </c>
      <c r="BK32" s="89">
        <v>5.75</v>
      </c>
      <c r="BL32" s="89">
        <v>5.6</v>
      </c>
      <c r="BM32" s="89">
        <v>5.6</v>
      </c>
    </row>
    <row r="33" spans="5:65" hidden="1" x14ac:dyDescent="0.2">
      <c r="G33" s="89" t="s">
        <v>50</v>
      </c>
      <c r="H33" s="89">
        <v>4.55</v>
      </c>
      <c r="I33" s="89">
        <v>4.55</v>
      </c>
      <c r="J33" s="89">
        <v>4.8</v>
      </c>
      <c r="K33" s="89">
        <v>4.8</v>
      </c>
      <c r="L33" s="89">
        <v>5.05</v>
      </c>
      <c r="M33" s="89">
        <v>5.05</v>
      </c>
      <c r="N33" s="89">
        <v>5.3</v>
      </c>
      <c r="O33" s="89">
        <v>5.3</v>
      </c>
      <c r="Q33" s="89" t="s">
        <v>50</v>
      </c>
      <c r="R33" s="89">
        <v>3.9</v>
      </c>
      <c r="S33" s="89">
        <v>3.9</v>
      </c>
      <c r="T33" s="89">
        <v>4.1500000000000004</v>
      </c>
      <c r="U33" s="89">
        <v>4.1500000000000004</v>
      </c>
      <c r="V33" s="89">
        <v>4.4000000000000004</v>
      </c>
      <c r="W33" s="89">
        <v>4.4000000000000004</v>
      </c>
      <c r="X33" s="89">
        <v>4.5999999999999996</v>
      </c>
      <c r="Y33" s="89">
        <v>4.5999999999999996</v>
      </c>
      <c r="AA33" s="89" t="s">
        <v>50</v>
      </c>
      <c r="AB33" s="89">
        <v>5.7</v>
      </c>
      <c r="AC33" s="89">
        <v>5.95</v>
      </c>
      <c r="AD33" s="89">
        <v>6.05</v>
      </c>
      <c r="AE33" s="89">
        <v>6.3</v>
      </c>
      <c r="AF33" s="89">
        <v>6.2</v>
      </c>
      <c r="AG33" s="89">
        <v>6.45</v>
      </c>
      <c r="AH33" s="89">
        <v>6.35</v>
      </c>
      <c r="AI33" s="89">
        <v>6.65</v>
      </c>
      <c r="AK33" s="89" t="s">
        <v>50</v>
      </c>
      <c r="AL33" s="89">
        <v>4.8</v>
      </c>
      <c r="AM33" s="89">
        <v>4.8499999999999996</v>
      </c>
      <c r="AN33" s="89">
        <v>5.45</v>
      </c>
      <c r="AO33" s="89">
        <v>5.7</v>
      </c>
      <c r="AP33" s="89">
        <v>5.5</v>
      </c>
      <c r="AQ33" s="89">
        <v>5.8</v>
      </c>
      <c r="AR33" s="89">
        <v>5.45</v>
      </c>
      <c r="AS33" s="89">
        <v>5.75</v>
      </c>
      <c r="AU33" s="89" t="s">
        <v>50</v>
      </c>
      <c r="AV33" s="89">
        <v>6.85</v>
      </c>
      <c r="AW33" s="89">
        <v>7.15</v>
      </c>
      <c r="AX33" s="89">
        <v>7</v>
      </c>
      <c r="AY33" s="89">
        <v>7.35</v>
      </c>
      <c r="AZ33" s="89">
        <v>7.1</v>
      </c>
      <c r="BA33" s="89">
        <v>7.5</v>
      </c>
      <c r="BB33" s="89">
        <v>7.2</v>
      </c>
      <c r="BC33" s="89">
        <v>7.6</v>
      </c>
      <c r="BE33" s="89" t="s">
        <v>50</v>
      </c>
      <c r="BF33" s="89">
        <v>6.05</v>
      </c>
      <c r="BG33" s="89">
        <v>6.05</v>
      </c>
      <c r="BH33" s="89">
        <v>5.65</v>
      </c>
      <c r="BI33" s="89">
        <v>5.9</v>
      </c>
      <c r="BJ33" s="89">
        <v>5.6</v>
      </c>
      <c r="BK33" s="89">
        <v>5.75</v>
      </c>
      <c r="BL33" s="89">
        <v>5.6</v>
      </c>
      <c r="BM33" s="89">
        <v>5.6</v>
      </c>
    </row>
    <row r="34" spans="5:65" hidden="1" x14ac:dyDescent="0.2">
      <c r="G34" s="89" t="s">
        <v>76</v>
      </c>
      <c r="H34" s="89">
        <v>4.25</v>
      </c>
      <c r="I34" s="89">
        <v>4.25</v>
      </c>
      <c r="J34" s="89">
        <v>4.5</v>
      </c>
      <c r="K34" s="89">
        <v>4.5</v>
      </c>
      <c r="L34" s="89">
        <v>4.75</v>
      </c>
      <c r="M34" s="89">
        <v>4.75</v>
      </c>
      <c r="N34" s="89">
        <v>4.95</v>
      </c>
      <c r="O34" s="89">
        <v>4.95</v>
      </c>
      <c r="Q34" s="89" t="s">
        <v>76</v>
      </c>
      <c r="R34" s="89">
        <v>3.7</v>
      </c>
      <c r="S34" s="89">
        <v>3.7</v>
      </c>
      <c r="T34" s="89">
        <v>3.9</v>
      </c>
      <c r="U34" s="89">
        <v>3.9</v>
      </c>
      <c r="V34" s="89">
        <v>4.0999999999999996</v>
      </c>
      <c r="W34" s="89">
        <v>4.0999999999999996</v>
      </c>
      <c r="X34" s="89">
        <v>4.3</v>
      </c>
      <c r="Y34" s="89">
        <v>4.3</v>
      </c>
      <c r="AA34" s="89" t="s">
        <v>76</v>
      </c>
      <c r="AB34" s="89">
        <v>5.5</v>
      </c>
      <c r="AC34" s="89">
        <v>5.75</v>
      </c>
      <c r="AD34" s="89">
        <v>5.85</v>
      </c>
      <c r="AE34" s="89">
        <v>6.15</v>
      </c>
      <c r="AF34" s="89">
        <v>6</v>
      </c>
      <c r="AG34" s="89">
        <v>6.3</v>
      </c>
      <c r="AH34" s="89">
        <v>6.15</v>
      </c>
      <c r="AI34" s="89">
        <v>6.45</v>
      </c>
      <c r="AK34" s="89" t="s">
        <v>76</v>
      </c>
      <c r="AL34" s="89">
        <v>4.55</v>
      </c>
      <c r="AM34" s="89">
        <v>4.55</v>
      </c>
      <c r="AN34" s="89">
        <v>5.3</v>
      </c>
      <c r="AO34" s="89">
        <v>5.6</v>
      </c>
      <c r="AP34" s="89">
        <v>5.35</v>
      </c>
      <c r="AQ34" s="89">
        <v>5.65</v>
      </c>
      <c r="AR34" s="89">
        <v>5.35</v>
      </c>
      <c r="AS34" s="89">
        <v>5.65</v>
      </c>
      <c r="AU34" s="89" t="s">
        <v>76</v>
      </c>
      <c r="AV34" s="89">
        <v>6.6</v>
      </c>
      <c r="AW34" s="89">
        <v>6.95</v>
      </c>
      <c r="AX34" s="89">
        <v>6.8</v>
      </c>
      <c r="AY34" s="89">
        <v>7.15</v>
      </c>
      <c r="AZ34" s="89">
        <v>6.9</v>
      </c>
      <c r="BA34" s="89">
        <v>7.3</v>
      </c>
      <c r="BB34" s="89">
        <v>7</v>
      </c>
      <c r="BC34" s="89">
        <v>7.4</v>
      </c>
      <c r="BE34" s="89" t="s">
        <v>76</v>
      </c>
      <c r="BF34" s="89">
        <v>5.6</v>
      </c>
      <c r="BG34" s="89">
        <v>5.9</v>
      </c>
      <c r="BH34" s="89">
        <v>5.55</v>
      </c>
      <c r="BI34" s="89">
        <v>5.85</v>
      </c>
      <c r="BJ34" s="89">
        <v>5.5</v>
      </c>
      <c r="BK34" s="89">
        <v>5.75</v>
      </c>
      <c r="BL34" s="89">
        <v>5.6</v>
      </c>
      <c r="BM34" s="89">
        <v>5.6</v>
      </c>
    </row>
    <row r="35" spans="5:65" hidden="1" x14ac:dyDescent="0.2">
      <c r="G35" s="89" t="s">
        <v>77</v>
      </c>
      <c r="H35" s="89">
        <v>4</v>
      </c>
      <c r="I35" s="89">
        <v>4</v>
      </c>
      <c r="J35" s="89">
        <v>4.25</v>
      </c>
      <c r="K35" s="89">
        <v>4.25</v>
      </c>
      <c r="L35" s="89">
        <v>4.45</v>
      </c>
      <c r="M35" s="89">
        <v>4.45</v>
      </c>
      <c r="N35" s="89">
        <v>4.7</v>
      </c>
      <c r="O35" s="89">
        <v>4.7</v>
      </c>
      <c r="Q35" s="89" t="s">
        <v>77</v>
      </c>
      <c r="R35" s="89">
        <v>3.45</v>
      </c>
      <c r="S35" s="89">
        <v>3.45</v>
      </c>
      <c r="T35" s="89">
        <v>3.65</v>
      </c>
      <c r="U35" s="89">
        <v>3.65</v>
      </c>
      <c r="V35" s="89">
        <v>3.85</v>
      </c>
      <c r="W35" s="89">
        <v>3.85</v>
      </c>
      <c r="X35" s="89">
        <v>4.0999999999999996</v>
      </c>
      <c r="Y35" s="89">
        <v>4.0999999999999996</v>
      </c>
      <c r="AA35" s="89" t="s">
        <v>77</v>
      </c>
      <c r="AB35" s="89">
        <v>5.35</v>
      </c>
      <c r="AC35" s="89">
        <v>5.6</v>
      </c>
      <c r="AD35" s="89">
        <v>5.7</v>
      </c>
      <c r="AE35" s="89">
        <v>6</v>
      </c>
      <c r="AF35" s="89">
        <v>5.8</v>
      </c>
      <c r="AG35" s="89">
        <v>6.1</v>
      </c>
      <c r="AH35" s="89">
        <v>6</v>
      </c>
      <c r="AI35" s="89">
        <v>6.3</v>
      </c>
      <c r="AK35" s="89" t="s">
        <v>77</v>
      </c>
      <c r="AL35" s="89">
        <v>4.25</v>
      </c>
      <c r="AM35" s="89">
        <v>4.25</v>
      </c>
      <c r="AN35" s="89">
        <v>5.15</v>
      </c>
      <c r="AO35" s="89">
        <v>5.45</v>
      </c>
      <c r="AP35" s="89">
        <v>5.25</v>
      </c>
      <c r="AQ35" s="89">
        <v>5.55</v>
      </c>
      <c r="AR35" s="89">
        <v>5.25</v>
      </c>
      <c r="AS35" s="89">
        <v>5.55</v>
      </c>
      <c r="AU35" s="89" t="s">
        <v>77</v>
      </c>
      <c r="AV35" s="89">
        <v>6.4</v>
      </c>
      <c r="AW35" s="89">
        <v>6.75</v>
      </c>
      <c r="AX35" s="89">
        <v>6.6</v>
      </c>
      <c r="AY35" s="89">
        <v>7</v>
      </c>
      <c r="AZ35" s="89">
        <v>6.7</v>
      </c>
      <c r="BA35" s="89">
        <v>7.1</v>
      </c>
      <c r="BB35" s="89">
        <v>6.85</v>
      </c>
      <c r="BC35" s="89">
        <v>7.2</v>
      </c>
      <c r="BE35" s="89" t="s">
        <v>77</v>
      </c>
      <c r="BF35" s="89">
        <v>5.5</v>
      </c>
      <c r="BG35" s="89">
        <v>5.8</v>
      </c>
      <c r="BH35" s="89">
        <v>5.45</v>
      </c>
      <c r="BI35" s="89">
        <v>5.75</v>
      </c>
      <c r="BJ35" s="89">
        <v>5.4</v>
      </c>
      <c r="BK35" s="89">
        <v>5.7</v>
      </c>
      <c r="BL35" s="89">
        <v>5.35</v>
      </c>
      <c r="BM35" s="89">
        <v>5.6</v>
      </c>
    </row>
    <row r="36" spans="5:65" hidden="1" x14ac:dyDescent="0.2">
      <c r="G36" s="89" t="s">
        <v>46</v>
      </c>
      <c r="H36" s="89">
        <v>3.8</v>
      </c>
      <c r="I36" s="89">
        <v>3.8</v>
      </c>
      <c r="J36" s="89">
        <v>4</v>
      </c>
      <c r="K36" s="89">
        <v>4</v>
      </c>
      <c r="L36" s="89">
        <v>4.2</v>
      </c>
      <c r="M36" s="89">
        <v>4.2</v>
      </c>
      <c r="N36" s="89">
        <v>4.45</v>
      </c>
      <c r="O36" s="89">
        <v>4.45</v>
      </c>
      <c r="Q36" s="89" t="s">
        <v>46</v>
      </c>
      <c r="R36" s="89">
        <v>3.25</v>
      </c>
      <c r="S36" s="89">
        <v>3.25</v>
      </c>
      <c r="T36" s="89">
        <v>3.45</v>
      </c>
      <c r="U36" s="89">
        <v>3.45</v>
      </c>
      <c r="V36" s="89">
        <v>3.65</v>
      </c>
      <c r="W36" s="89">
        <v>3.65</v>
      </c>
      <c r="X36" s="89">
        <v>3.85</v>
      </c>
      <c r="Y36" s="89">
        <v>3.85</v>
      </c>
      <c r="AA36" s="89" t="s">
        <v>46</v>
      </c>
      <c r="AB36" s="89">
        <v>5.2</v>
      </c>
      <c r="AC36" s="89">
        <v>5.35</v>
      </c>
      <c r="AD36" s="89">
        <v>5.5</v>
      </c>
      <c r="AE36" s="89">
        <v>5.8</v>
      </c>
      <c r="AF36" s="89">
        <v>5.65</v>
      </c>
      <c r="AG36" s="89">
        <v>6</v>
      </c>
      <c r="AH36" s="89">
        <v>5.8</v>
      </c>
      <c r="AI36" s="89">
        <v>6.15</v>
      </c>
      <c r="AK36" s="89" t="s">
        <v>46</v>
      </c>
      <c r="AL36" s="89">
        <v>4.05</v>
      </c>
      <c r="AM36" s="89">
        <v>4.05</v>
      </c>
      <c r="AN36" s="89">
        <v>5.05</v>
      </c>
      <c r="AO36" s="89">
        <v>5.35</v>
      </c>
      <c r="AP36" s="89">
        <v>5.15</v>
      </c>
      <c r="AQ36" s="89">
        <v>5.4</v>
      </c>
      <c r="AR36" s="89">
        <v>5.15</v>
      </c>
      <c r="AS36" s="89">
        <v>5.4</v>
      </c>
      <c r="AU36" s="89" t="s">
        <v>46</v>
      </c>
      <c r="AV36" s="89">
        <v>6.25</v>
      </c>
      <c r="AW36" s="89">
        <v>6.6</v>
      </c>
      <c r="AX36" s="89">
        <v>6.4</v>
      </c>
      <c r="AY36" s="89">
        <v>6.8</v>
      </c>
      <c r="AZ36" s="89">
        <v>6.55</v>
      </c>
      <c r="BA36" s="89">
        <v>6.95</v>
      </c>
      <c r="BB36" s="89">
        <v>6.65</v>
      </c>
      <c r="BC36" s="89">
        <v>7.05</v>
      </c>
      <c r="BE36" s="89" t="s">
        <v>46</v>
      </c>
      <c r="BF36" s="89">
        <v>5.4</v>
      </c>
      <c r="BG36" s="89">
        <v>5.7</v>
      </c>
      <c r="BH36" s="89">
        <v>5.35</v>
      </c>
      <c r="BI36" s="89">
        <v>5.65</v>
      </c>
      <c r="BJ36" s="89">
        <v>5.3</v>
      </c>
      <c r="BK36" s="89">
        <v>5.6</v>
      </c>
      <c r="BL36" s="89">
        <v>5.3</v>
      </c>
      <c r="BM36" s="89">
        <v>5.55</v>
      </c>
    </row>
    <row r="37" spans="5:65" hidden="1" x14ac:dyDescent="0.2">
      <c r="G37" s="89" t="s">
        <v>82</v>
      </c>
      <c r="H37" s="89">
        <v>3.4</v>
      </c>
      <c r="I37" s="89">
        <v>3.4</v>
      </c>
      <c r="J37" s="89">
        <v>3.6</v>
      </c>
      <c r="K37" s="89">
        <v>3.6</v>
      </c>
      <c r="L37" s="89">
        <v>3.8</v>
      </c>
      <c r="M37" s="89">
        <v>3.8</v>
      </c>
      <c r="N37" s="89">
        <v>4</v>
      </c>
      <c r="O37" s="89">
        <v>4</v>
      </c>
      <c r="Q37" s="89" t="s">
        <v>82</v>
      </c>
      <c r="R37" s="89">
        <v>3</v>
      </c>
      <c r="S37" s="89">
        <v>3</v>
      </c>
      <c r="T37" s="89">
        <v>3.25</v>
      </c>
      <c r="U37" s="89">
        <v>3.25</v>
      </c>
      <c r="V37" s="89">
        <v>3.55</v>
      </c>
      <c r="W37" s="89">
        <v>3.55</v>
      </c>
      <c r="X37" s="89">
        <v>3.7</v>
      </c>
      <c r="Y37" s="89">
        <v>3.7</v>
      </c>
      <c r="AA37" s="89" t="s">
        <v>82</v>
      </c>
      <c r="AB37" s="89">
        <v>4.8</v>
      </c>
      <c r="AC37" s="89">
        <v>4.8</v>
      </c>
      <c r="AD37" s="89">
        <v>5.3</v>
      </c>
      <c r="AE37" s="89">
        <v>5.65</v>
      </c>
      <c r="AF37" s="89">
        <v>5.45</v>
      </c>
      <c r="AG37" s="89">
        <v>5.8</v>
      </c>
      <c r="AH37" s="89">
        <v>5.6</v>
      </c>
      <c r="AI37" s="89">
        <v>6</v>
      </c>
      <c r="AK37" s="89" t="s">
        <v>82</v>
      </c>
      <c r="AL37" s="89">
        <v>3.65</v>
      </c>
      <c r="AM37" s="89">
        <v>3.6</v>
      </c>
      <c r="AN37" s="89">
        <v>4.9000000000000004</v>
      </c>
      <c r="AO37" s="89">
        <v>5.15</v>
      </c>
      <c r="AP37" s="89">
        <v>5</v>
      </c>
      <c r="AQ37" s="89">
        <v>5.25</v>
      </c>
      <c r="AR37" s="89">
        <v>5</v>
      </c>
      <c r="AS37" s="89">
        <v>5.3</v>
      </c>
      <c r="AU37" s="89" t="s">
        <v>82</v>
      </c>
      <c r="AV37" s="89">
        <v>6</v>
      </c>
      <c r="AW37" s="89">
        <v>6.4</v>
      </c>
      <c r="AX37" s="89">
        <v>6.2</v>
      </c>
      <c r="AY37" s="89">
        <v>6.6</v>
      </c>
      <c r="AZ37" s="89">
        <v>6.35</v>
      </c>
      <c r="BA37" s="89">
        <v>6.65</v>
      </c>
      <c r="BB37" s="89">
        <v>6.45</v>
      </c>
      <c r="BC37" s="89">
        <v>6.7</v>
      </c>
      <c r="BE37" s="89" t="s">
        <v>82</v>
      </c>
      <c r="BF37" s="89">
        <v>5.2</v>
      </c>
      <c r="BG37" s="89">
        <v>5.5</v>
      </c>
      <c r="BH37" s="89">
        <v>5.25</v>
      </c>
      <c r="BI37" s="89">
        <v>5.55</v>
      </c>
      <c r="BJ37" s="89">
        <v>5.25</v>
      </c>
      <c r="BK37" s="89">
        <v>5.5</v>
      </c>
      <c r="BL37" s="89">
        <v>5.2</v>
      </c>
      <c r="BM37" s="89">
        <v>5.5</v>
      </c>
    </row>
    <row r="38" spans="5:65" hidden="1" x14ac:dyDescent="0.2">
      <c r="G38" s="89" t="s">
        <v>45</v>
      </c>
      <c r="H38" s="89">
        <v>3.2</v>
      </c>
      <c r="I38" s="89">
        <v>3.2</v>
      </c>
      <c r="J38" s="89">
        <v>3.4</v>
      </c>
      <c r="K38" s="89">
        <v>3.4</v>
      </c>
      <c r="L38" s="89">
        <v>3.6</v>
      </c>
      <c r="M38" s="89">
        <v>3.6</v>
      </c>
      <c r="N38" s="89">
        <v>3.8</v>
      </c>
      <c r="O38" s="89">
        <v>3.8</v>
      </c>
      <c r="Q38" s="89" t="s">
        <v>45</v>
      </c>
      <c r="R38" s="89">
        <v>2.75</v>
      </c>
      <c r="S38" s="89">
        <v>2.75</v>
      </c>
      <c r="T38" s="89">
        <v>2.95</v>
      </c>
      <c r="U38" s="89">
        <v>2.95</v>
      </c>
      <c r="V38" s="89">
        <v>3.15</v>
      </c>
      <c r="W38" s="89">
        <v>3.15</v>
      </c>
      <c r="X38" s="89">
        <v>3.3</v>
      </c>
      <c r="Y38" s="89">
        <v>3.3</v>
      </c>
      <c r="AA38" s="89" t="s">
        <v>45</v>
      </c>
      <c r="AB38" s="89">
        <v>4.5999999999999996</v>
      </c>
      <c r="AC38" s="89">
        <v>4.5999999999999996</v>
      </c>
      <c r="AD38" s="89">
        <v>5.0999999999999996</v>
      </c>
      <c r="AE38" s="89">
        <v>5.45</v>
      </c>
      <c r="AF38" s="89">
        <v>5.25</v>
      </c>
      <c r="AG38" s="89">
        <v>5.6</v>
      </c>
      <c r="AH38" s="89">
        <v>5.4</v>
      </c>
      <c r="AI38" s="89">
        <v>5.8</v>
      </c>
      <c r="AK38" s="89" t="s">
        <v>45</v>
      </c>
      <c r="AL38" s="89">
        <v>3.45</v>
      </c>
      <c r="AM38" s="89">
        <v>3.45</v>
      </c>
      <c r="AN38" s="89">
        <v>4.75</v>
      </c>
      <c r="AO38" s="89">
        <v>5</v>
      </c>
      <c r="AP38" s="89">
        <v>4.8499999999999996</v>
      </c>
      <c r="AQ38" s="89">
        <v>5.0999999999999996</v>
      </c>
      <c r="AR38" s="89">
        <v>4.8</v>
      </c>
      <c r="AS38" s="89">
        <v>5.05</v>
      </c>
      <c r="AU38" s="89" t="s">
        <v>45</v>
      </c>
      <c r="AV38" s="89">
        <v>5.8</v>
      </c>
      <c r="AW38" s="89">
        <v>6.2</v>
      </c>
      <c r="AX38" s="89">
        <v>6</v>
      </c>
      <c r="AY38" s="89">
        <v>6.4</v>
      </c>
      <c r="AZ38" s="89">
        <v>6.1</v>
      </c>
      <c r="BA38" s="89">
        <v>6.45</v>
      </c>
      <c r="BB38" s="89">
        <v>6.25</v>
      </c>
      <c r="BC38" s="89">
        <v>6.55</v>
      </c>
      <c r="BE38" s="89" t="s">
        <v>45</v>
      </c>
      <c r="BF38" s="89">
        <v>5.0999999999999996</v>
      </c>
      <c r="BG38" s="89">
        <v>5.4</v>
      </c>
      <c r="BH38" s="89">
        <v>5.0999999999999996</v>
      </c>
      <c r="BI38" s="89">
        <v>5.4</v>
      </c>
      <c r="BJ38" s="89">
        <v>5.0999999999999996</v>
      </c>
      <c r="BK38" s="89">
        <v>5.35</v>
      </c>
      <c r="BL38" s="89">
        <v>5.05</v>
      </c>
      <c r="BM38" s="89">
        <v>5.35</v>
      </c>
    </row>
    <row r="39" spans="5:65" hidden="1" x14ac:dyDescent="0.2">
      <c r="G39" s="89" t="s">
        <v>68</v>
      </c>
      <c r="H39" s="89">
        <v>2.5</v>
      </c>
      <c r="I39" s="89">
        <v>2.5</v>
      </c>
      <c r="J39" s="89">
        <v>2.7</v>
      </c>
      <c r="K39" s="89">
        <v>2.7</v>
      </c>
      <c r="L39" s="89">
        <v>2.85</v>
      </c>
      <c r="M39" s="89">
        <v>2.85</v>
      </c>
      <c r="N39" s="89">
        <v>3.05</v>
      </c>
      <c r="O39" s="89">
        <v>3.05</v>
      </c>
      <c r="Q39" s="89" t="s">
        <v>68</v>
      </c>
      <c r="R39" s="89">
        <v>2.5</v>
      </c>
      <c r="S39" s="89">
        <v>2.5</v>
      </c>
      <c r="T39" s="89">
        <v>2.7</v>
      </c>
      <c r="U39" s="89">
        <v>2.7</v>
      </c>
      <c r="V39" s="89">
        <v>2.85</v>
      </c>
      <c r="W39" s="89">
        <v>2.85</v>
      </c>
      <c r="X39" s="89">
        <v>3.05</v>
      </c>
      <c r="Y39" s="89">
        <v>3.05</v>
      </c>
      <c r="AA39" s="89" t="s">
        <v>68</v>
      </c>
      <c r="AB39" s="89">
        <v>4.2</v>
      </c>
      <c r="AC39" s="89">
        <v>4.2</v>
      </c>
      <c r="AD39" s="89">
        <v>5.9</v>
      </c>
      <c r="AE39" s="89">
        <v>5.25</v>
      </c>
      <c r="AF39" s="89">
        <v>5.05</v>
      </c>
      <c r="AG39" s="89">
        <v>5.4</v>
      </c>
      <c r="AH39" s="89">
        <v>5.2</v>
      </c>
      <c r="AI39" s="89">
        <v>5.55</v>
      </c>
      <c r="AK39" s="89" t="s">
        <v>68</v>
      </c>
      <c r="AL39" s="89">
        <v>3.15</v>
      </c>
      <c r="AM39" s="89">
        <v>3.15</v>
      </c>
      <c r="AN39" s="89">
        <v>4.5999999999999996</v>
      </c>
      <c r="AO39" s="89">
        <v>4.8499999999999996</v>
      </c>
      <c r="AP39" s="89">
        <v>4.6500000000000004</v>
      </c>
      <c r="AQ39" s="89">
        <v>4.9000000000000004</v>
      </c>
      <c r="AR39" s="89">
        <v>4.6500000000000004</v>
      </c>
      <c r="AS39" s="89">
        <v>4.9000000000000004</v>
      </c>
      <c r="AU39" s="89" t="s">
        <v>68</v>
      </c>
      <c r="AV39" s="89">
        <v>5.55</v>
      </c>
      <c r="AW39" s="89">
        <v>6</v>
      </c>
      <c r="AX39" s="89">
        <v>5.7</v>
      </c>
      <c r="AY39" s="89">
        <v>6.2</v>
      </c>
      <c r="AZ39" s="89">
        <v>5.85</v>
      </c>
      <c r="BA39" s="89">
        <v>6.2</v>
      </c>
      <c r="BB39" s="89">
        <v>6</v>
      </c>
      <c r="BC39" s="89">
        <v>6.3</v>
      </c>
      <c r="BE39" s="89" t="s">
        <v>68</v>
      </c>
      <c r="BF39" s="89">
        <v>4.95</v>
      </c>
      <c r="BG39" s="89">
        <v>5.2</v>
      </c>
      <c r="BH39" s="89">
        <v>4.95</v>
      </c>
      <c r="BI39" s="89">
        <v>5.2</v>
      </c>
      <c r="BJ39" s="89">
        <v>4.95</v>
      </c>
      <c r="BK39" s="89">
        <v>5.2</v>
      </c>
      <c r="BL39" s="89">
        <v>4.95</v>
      </c>
      <c r="BM39" s="89">
        <v>5.2</v>
      </c>
    </row>
    <row r="40" spans="5:65" hidden="1" x14ac:dyDescent="0.2">
      <c r="G40" s="89" t="s">
        <v>71</v>
      </c>
      <c r="H40" s="230">
        <v>180</v>
      </c>
      <c r="I40" s="230"/>
      <c r="J40" s="230">
        <v>200</v>
      </c>
      <c r="K40" s="230"/>
      <c r="L40" s="230">
        <v>225</v>
      </c>
      <c r="M40" s="230"/>
      <c r="N40" s="230">
        <v>250</v>
      </c>
      <c r="O40" s="230"/>
      <c r="R40" s="230">
        <v>170</v>
      </c>
      <c r="S40" s="230"/>
      <c r="T40" s="230">
        <v>195</v>
      </c>
      <c r="U40" s="230"/>
      <c r="V40" s="230">
        <v>215</v>
      </c>
      <c r="W40" s="230"/>
      <c r="X40" s="230">
        <v>240</v>
      </c>
      <c r="Y40" s="230"/>
      <c r="AB40" s="89">
        <v>210</v>
      </c>
      <c r="AD40" s="89">
        <v>235</v>
      </c>
      <c r="AF40" s="89">
        <v>260</v>
      </c>
      <c r="AH40" s="89">
        <v>280</v>
      </c>
      <c r="AL40" s="89">
        <v>200</v>
      </c>
      <c r="AN40" s="89">
        <v>235</v>
      </c>
      <c r="AP40" s="89">
        <v>260</v>
      </c>
      <c r="AR40" s="89">
        <v>280</v>
      </c>
      <c r="AV40" s="230">
        <v>271</v>
      </c>
      <c r="AW40" s="230"/>
      <c r="AX40" s="230">
        <v>294</v>
      </c>
      <c r="AY40" s="230"/>
      <c r="AZ40" s="230">
        <v>317</v>
      </c>
      <c r="BA40" s="230"/>
      <c r="BB40" s="230">
        <v>340</v>
      </c>
      <c r="BC40" s="230"/>
      <c r="BF40" s="230">
        <v>271</v>
      </c>
      <c r="BG40" s="230"/>
      <c r="BH40" s="230">
        <v>294</v>
      </c>
      <c r="BI40" s="230"/>
      <c r="BJ40" s="230">
        <v>317</v>
      </c>
      <c r="BK40" s="230"/>
      <c r="BL40" s="230">
        <v>340</v>
      </c>
      <c r="BM40" s="230"/>
    </row>
    <row r="41" spans="5:65" hidden="1" x14ac:dyDescent="0.2">
      <c r="G41" s="89" t="s">
        <v>72</v>
      </c>
      <c r="H41" s="230">
        <v>62</v>
      </c>
      <c r="I41" s="230"/>
      <c r="J41" s="230">
        <v>72</v>
      </c>
      <c r="K41" s="230"/>
      <c r="L41" s="230">
        <v>82</v>
      </c>
      <c r="M41" s="230"/>
      <c r="N41" s="230">
        <v>92</v>
      </c>
      <c r="O41" s="230"/>
      <c r="R41" s="230">
        <v>60</v>
      </c>
      <c r="S41" s="230"/>
      <c r="T41" s="230">
        <v>70</v>
      </c>
      <c r="U41" s="230"/>
      <c r="V41" s="230">
        <v>80</v>
      </c>
      <c r="W41" s="230"/>
      <c r="X41" s="230">
        <v>90</v>
      </c>
      <c r="Y41" s="230"/>
      <c r="AB41" s="89">
        <v>73</v>
      </c>
      <c r="AD41" s="89">
        <v>80</v>
      </c>
      <c r="AF41" s="89">
        <v>88</v>
      </c>
      <c r="AH41" s="89">
        <v>98</v>
      </c>
      <c r="AL41" s="89">
        <v>73</v>
      </c>
      <c r="AN41" s="89">
        <v>78</v>
      </c>
      <c r="AP41" s="89">
        <v>88</v>
      </c>
      <c r="AR41" s="89">
        <v>98</v>
      </c>
      <c r="AV41" s="230">
        <v>91</v>
      </c>
      <c r="AW41" s="230"/>
      <c r="AX41" s="230">
        <v>102</v>
      </c>
      <c r="AY41" s="230"/>
      <c r="AZ41" s="230">
        <v>111</v>
      </c>
      <c r="BA41" s="230"/>
      <c r="BB41" s="230">
        <v>121</v>
      </c>
      <c r="BC41" s="230"/>
      <c r="BF41" s="230">
        <v>91</v>
      </c>
      <c r="BG41" s="230"/>
      <c r="BH41" s="230">
        <v>101</v>
      </c>
      <c r="BI41" s="230"/>
      <c r="BJ41" s="230">
        <v>111</v>
      </c>
      <c r="BK41" s="230"/>
      <c r="BL41" s="230">
        <v>121</v>
      </c>
      <c r="BM41" s="230"/>
    </row>
    <row r="42" spans="5:65" hidden="1" x14ac:dyDescent="0.2">
      <c r="E42" s="89" t="s">
        <v>49</v>
      </c>
      <c r="G42" s="89" t="str">
        <f>+DIM!$AK$20&amp;"+"&amp;DIM!$S$14</f>
        <v>251+250</v>
      </c>
      <c r="H42" s="93">
        <f>+VLOOKUP($G$42,$G$16:$O$39,2,FALSE)</f>
        <v>4.7</v>
      </c>
      <c r="I42" s="93">
        <f>+VLOOKUP($G$42,$G$16:$O$39,3,FALSE)</f>
        <v>4.7</v>
      </c>
      <c r="J42" s="93">
        <f>+VLOOKUP($G$42,$G$16:$O$39,4,FALSE)</f>
        <v>4.9000000000000004</v>
      </c>
      <c r="K42" s="93">
        <f>+VLOOKUP($G$42,$G$16:$O$39,5,FALSE)</f>
        <v>4.9000000000000004</v>
      </c>
      <c r="L42" s="93">
        <f>+VLOOKUP($G$42,$G$16:$O$39,6,FALSE)</f>
        <v>4.9000000000000004</v>
      </c>
      <c r="M42" s="93">
        <f>+VLOOKUP($G$42,$G$16:$O$39,7,FALSE)</f>
        <v>5.15</v>
      </c>
      <c r="N42" s="93">
        <f>+VLOOKUP($G$42,$G$16:$O$39,8,FALSE)</f>
        <v>5.35</v>
      </c>
      <c r="O42" s="93">
        <f>+VLOOKUP($G$42,$G$16:$O$39,9,FALSE)</f>
        <v>5.4</v>
      </c>
      <c r="Q42" s="89" t="str">
        <f>+DIM!$AK$20&amp;"+"&amp;DIM!$S$14</f>
        <v>251+250</v>
      </c>
      <c r="R42" s="93">
        <f>+VLOOKUP($Q$42,$Q$16:$Y$39,2,FALSE)</f>
        <v>4.05</v>
      </c>
      <c r="S42" s="93">
        <f>+VLOOKUP($Q$42,$Q$16:$Y$39,3,FALSE)</f>
        <v>4.05</v>
      </c>
      <c r="T42" s="93">
        <f>+VLOOKUP($Q$42,$Q$16:$Y$39,4,FALSE)</f>
        <v>4.25</v>
      </c>
      <c r="U42" s="93">
        <f>+VLOOKUP($Q$42,$Q$16:$Y$39,5,FALSE)</f>
        <v>4.25</v>
      </c>
      <c r="V42" s="93">
        <f>+VLOOKUP($Q$42,$Q$16:$Y$39,6,FALSE)</f>
        <v>4.5</v>
      </c>
      <c r="W42" s="93">
        <f>+VLOOKUP($Q$42,$Q$16:$Y$39,7,FALSE)</f>
        <v>4.5</v>
      </c>
      <c r="X42" s="93">
        <f>+VLOOKUP($Q$42,$Q$16:$Y$39,8,FALSE)</f>
        <v>4.55</v>
      </c>
      <c r="Y42" s="93">
        <f>+VLOOKUP($Q$42,$Q$16:$Y$39,9,FALSE)</f>
        <v>4.7</v>
      </c>
      <c r="AA42" s="89" t="str">
        <f>+DIM!$AK$20&amp;"+"&amp;DIM!$S$14</f>
        <v>251+250</v>
      </c>
      <c r="AB42" s="93">
        <f>+VLOOKUP($AA$42,$AA$16:$AI$41,2,FALSE)</f>
        <v>5.5</v>
      </c>
      <c r="AC42" s="93">
        <f>+VLOOKUP($AA$42,$AA$16:$AI$41,3,FALSE)</f>
        <v>5.9</v>
      </c>
      <c r="AD42" s="93">
        <f>+VLOOKUP($AA$42,$AA$16:$AI$41,4,FALSE)</f>
        <v>5.85</v>
      </c>
      <c r="AE42" s="93">
        <f>+VLOOKUP($AA$42,$AA$16:$AI$41,5,FALSE)</f>
        <v>6.3</v>
      </c>
      <c r="AF42" s="93">
        <f>+VLOOKUP($AA$42,$AA$16:$AI$41,6,FALSE)</f>
        <v>6</v>
      </c>
      <c r="AG42" s="93">
        <f>+VLOOKUP($AA$42,$AA$16:$AI$41,7,FALSE)</f>
        <v>6.45</v>
      </c>
      <c r="AH42" s="93">
        <f>+VLOOKUP($AA$42,$AA$16:$AI$41,8,FALSE)</f>
        <v>6.15</v>
      </c>
      <c r="AI42" s="93">
        <f>+VLOOKUP($AA$42,$AA$16:$AI$41,9,FALSE)</f>
        <v>6.6</v>
      </c>
      <c r="AK42" s="89" t="str">
        <f>+DIM!$AK$20&amp;"+"&amp;DIM!$S$14</f>
        <v>251+250</v>
      </c>
      <c r="AL42" s="93">
        <f>+VLOOKUP($AK$42,$AK$16:$AS$41,2,FALSE)</f>
        <v>4.7</v>
      </c>
      <c r="AM42" s="93">
        <f>+VLOOKUP($AK$42,$AK$16:$AS$41,3,FALSE)</f>
        <v>4.95</v>
      </c>
      <c r="AN42" s="93">
        <f>+VLOOKUP($AK$42,$AK$16:$AS$41,4,FALSE)</f>
        <v>5.3</v>
      </c>
      <c r="AO42" s="93">
        <f>+VLOOKUP($AK$42,$AK$16:$AS$41,5,FALSE)</f>
        <v>5.6</v>
      </c>
      <c r="AP42" s="93">
        <f>+VLOOKUP($AK$42,$AK$16:$AS$41,6,FALSE)</f>
        <v>5.5</v>
      </c>
      <c r="AQ42" s="93">
        <f>+VLOOKUP($AK$42,$AK$16:$AS$41,7,FALSE)</f>
        <v>5.8</v>
      </c>
      <c r="AR42" s="93">
        <f>+VLOOKUP($AK$42,$AK$16:$AS$41,8,FALSE)</f>
        <v>5.45</v>
      </c>
      <c r="AS42" s="93">
        <f>+VLOOKUP($AK$42,$AK$16:$AS$41,9,FALSE)</f>
        <v>5.75</v>
      </c>
      <c r="AU42" s="89" t="str">
        <f>+DIM!$AK$20&amp;"+"&amp;DIM!$S$14</f>
        <v>251+250</v>
      </c>
      <c r="AV42" s="93">
        <f>+VLOOKUP($AU$42,$AU$16:$BC$39,2,FALSE)</f>
        <v>6.6</v>
      </c>
      <c r="AW42" s="93">
        <f>+VLOOKUP($AU$42,$AU$16:$BC$41,3,FALSE)</f>
        <v>7.1</v>
      </c>
      <c r="AX42" s="93">
        <f>+VLOOKUP($AU$42,$AU$16:$BC$41,4,FALSE)</f>
        <v>6.8</v>
      </c>
      <c r="AY42" s="93">
        <f>+VLOOKUP($AU$42,$AU$16:$BC$41,5,FALSE)</f>
        <v>7.3</v>
      </c>
      <c r="AZ42" s="93">
        <f>+VLOOKUP($AU$42,$AU$16:$BC$41,6,FALSE)</f>
        <v>6.9</v>
      </c>
      <c r="BA42" s="93">
        <f>+VLOOKUP($AU$42,$AU$16:$BC$41,7,FALSE)</f>
        <v>7.45</v>
      </c>
      <c r="BB42" s="93">
        <f>+VLOOKUP($AU$42,$AU$16:$BC$41,8,FALSE)</f>
        <v>7.05</v>
      </c>
      <c r="BC42" s="93">
        <f>+VLOOKUP($AU$42,$AU$16:$BC$41,9,FALSE)</f>
        <v>7.6</v>
      </c>
      <c r="BE42" s="89" t="str">
        <f>+DIM!$AK$20&amp;"+"&amp;DIM!$S$14</f>
        <v>251+250</v>
      </c>
      <c r="BF42" s="93">
        <f>+VLOOKUP($BE$42,$BE$16:$BM$39,2,FALSE)</f>
        <v>6.05</v>
      </c>
      <c r="BG42" s="93">
        <f>+VLOOKUP($BE$42,$BE$16:$BM$39,3,FALSE)</f>
        <v>6.05</v>
      </c>
      <c r="BH42" s="93">
        <f>+VLOOKUP($BE$42,$BE$16:$BM$39,4,FALSE)</f>
        <v>5.65</v>
      </c>
      <c r="BI42" s="93">
        <f>+VLOOKUP($BE$42,$BE$16:$BM$39,5,FALSE)</f>
        <v>5.9</v>
      </c>
      <c r="BJ42" s="93">
        <f>+VLOOKUP($BE$42,$BE$16:$BM$41,6,FALSE)</f>
        <v>5.6</v>
      </c>
      <c r="BK42" s="93">
        <f>+VLOOKUP($BE$42,$BE$16:$BM$41,7,FALSE)</f>
        <v>5.75</v>
      </c>
      <c r="BL42" s="93">
        <f>+VLOOKUP($BE$42,$BE$16:$BM$41,8,FALSE)</f>
        <v>5.5</v>
      </c>
      <c r="BM42" s="93">
        <f>+VLOOKUP($BE$42,$BE$16:$BM$41,9,FALSE)</f>
        <v>5.6</v>
      </c>
    </row>
    <row r="43" spans="5:65" hidden="1" x14ac:dyDescent="0.2">
      <c r="F43" s="89" t="s">
        <v>47</v>
      </c>
      <c r="G43" s="89" t="str">
        <f>+DIM!AD15</f>
        <v>1C</v>
      </c>
      <c r="H43" s="229">
        <f>+IF(DIM!$AD$15=polyseac!$H$15,polyseac!H42,polyseac!I42)</f>
        <v>4.7</v>
      </c>
      <c r="I43" s="229"/>
      <c r="J43" s="229">
        <f>+IF(DIM!$AD$15=polyseac!$H$15,polyseac!J42,polyseac!K42)</f>
        <v>4.9000000000000004</v>
      </c>
      <c r="K43" s="229"/>
      <c r="L43" s="229">
        <f>+IF(DIM!$AD$15=polyseac!$H$15,polyseac!L42,polyseac!M42)</f>
        <v>5.15</v>
      </c>
      <c r="M43" s="229"/>
      <c r="N43" s="229">
        <f>+IF(DIM!$AD$15=polyseac!$H$15,polyseac!N42,polyseac!O42)</f>
        <v>5.4</v>
      </c>
      <c r="O43" s="229"/>
      <c r="Q43" s="89" t="str">
        <f>+DIM!AD15</f>
        <v>1C</v>
      </c>
      <c r="R43" s="231">
        <f>+IF(DIM!$AD$15=polyseac!$H$15,polyseac!R42,polyseac!S42)</f>
        <v>4.05</v>
      </c>
      <c r="S43" s="232"/>
      <c r="T43" s="231">
        <f>+IF(DIM!$AD$15=polyseac!$H$15,polyseac!T42,polyseac!U42)</f>
        <v>4.25</v>
      </c>
      <c r="U43" s="232"/>
      <c r="V43" s="231">
        <f>+IF(DIM!$AD$15=polyseac!$H$15,polyseac!V42,polyseac!W42)</f>
        <v>4.5</v>
      </c>
      <c r="W43" s="232"/>
      <c r="X43" s="231">
        <f>+IF(DIM!$AD$15=polyseac!$H$15,polyseac!X42,polyseac!Y42)</f>
        <v>4.7</v>
      </c>
      <c r="Y43" s="232"/>
      <c r="AA43" s="89" t="str">
        <f>+DIM!AD15</f>
        <v>1C</v>
      </c>
      <c r="AB43" s="231">
        <f>+IF(DIM!$AD$15=polyseac!$H$15,polyseac!AB42,polyseac!AC42)</f>
        <v>5.9</v>
      </c>
      <c r="AC43" s="232"/>
      <c r="AD43" s="231">
        <f>+IF(DIM!$AD$15=polyseac!$H$15,polyseac!AD42,polyseac!AE42)</f>
        <v>6.3</v>
      </c>
      <c r="AE43" s="232"/>
      <c r="AF43" s="231">
        <f>+IF(DIM!$AD$15=polyseac!$H$15,polyseac!AF42,polyseac!AG42)</f>
        <v>6.45</v>
      </c>
      <c r="AG43" s="232"/>
      <c r="AH43" s="231">
        <f>+IF(DIM!$AD$15=polyseac!$H$15,polyseac!AH42,polyseac!AI42)</f>
        <v>6.6</v>
      </c>
      <c r="AI43" s="232"/>
      <c r="AK43" s="89" t="str">
        <f>+DIM!AD15</f>
        <v>1C</v>
      </c>
      <c r="AL43" s="231">
        <f>+IF(DIM!$AD$15=polyseac!$H$15,polyseac!AL42,polyseac!AM42)</f>
        <v>4.95</v>
      </c>
      <c r="AM43" s="232"/>
      <c r="AN43" s="231">
        <f>+IF(DIM!$AD$15=polyseac!$H$15,polyseac!AN42,polyseac!AO42)</f>
        <v>5.6</v>
      </c>
      <c r="AO43" s="232"/>
      <c r="AP43" s="231">
        <f>+IF(DIM!$AD$15=polyseac!$H$15,polyseac!AP42,polyseac!AQ42)</f>
        <v>5.8</v>
      </c>
      <c r="AQ43" s="232"/>
      <c r="AR43" s="231">
        <f>+IF(DIM!$AD$15=polyseac!$H$15,polyseac!AR42,polyseac!AS42)</f>
        <v>5.75</v>
      </c>
      <c r="AS43" s="232"/>
      <c r="AU43" s="89" t="str">
        <f>+AK43</f>
        <v>1C</v>
      </c>
      <c r="AV43" s="231">
        <f>+IF(DIM!$AD$15=polyseac!$H$15,polyseac!AV42,polyseac!AW42)</f>
        <v>7.1</v>
      </c>
      <c r="AW43" s="232"/>
      <c r="AX43" s="231">
        <f>+IF(DIM!$AD$15=polyseac!$H$15,polyseac!AX42,polyseac!AY42)</f>
        <v>7.3</v>
      </c>
      <c r="AY43" s="232"/>
      <c r="AZ43" s="231">
        <f>+IF(DIM!$AD$15=polyseac!$H$15,polyseac!AZ42,polyseac!BA42)</f>
        <v>7.45</v>
      </c>
      <c r="BA43" s="232"/>
      <c r="BB43" s="231">
        <f>+IF(DIM!$AD$15=polyseac!$H$15,polyseac!BB42,polyseac!BC42)</f>
        <v>7.6</v>
      </c>
      <c r="BC43" s="232"/>
      <c r="BE43" s="89" t="str">
        <f>+AU43</f>
        <v>1C</v>
      </c>
      <c r="BF43" s="231">
        <f>+IF(DIM!$AD$15=polyseac!$H$15,polyseac!BF42,polyseac!BG42)</f>
        <v>6.05</v>
      </c>
      <c r="BG43" s="232"/>
      <c r="BH43" s="231">
        <f>+IF(DIM!$AD$15=polyseac!$H$15,polyseac!BH42,polyseac!BI42)</f>
        <v>5.9</v>
      </c>
      <c r="BI43" s="232"/>
      <c r="BJ43" s="231">
        <f>+IF(DIM!$AD$15=polyseac!$H$15,polyseac!BJ42,polyseac!BK42)</f>
        <v>5.75</v>
      </c>
      <c r="BK43" s="232"/>
      <c r="BL43" s="231">
        <f>+IF(DIM!$AD$15=polyseac!$H$15,polyseac!BL42,polyseac!BM42)</f>
        <v>5.6</v>
      </c>
      <c r="BM43" s="232"/>
    </row>
    <row r="44" spans="5:65" hidden="1" x14ac:dyDescent="0.2">
      <c r="F44" s="89" t="s">
        <v>48</v>
      </c>
      <c r="G44" s="94">
        <f>+DIM!S32</f>
        <v>5</v>
      </c>
      <c r="K44" s="95">
        <f>+HLOOKUP(G44,H14:O43,30,FALSE)</f>
        <v>4.7</v>
      </c>
      <c r="Q44" s="94">
        <f>+DIM!S32</f>
        <v>5</v>
      </c>
      <c r="U44" s="95">
        <f>+HLOOKUP(Q44,R14:Y43,30,FALSE)</f>
        <v>4.05</v>
      </c>
      <c r="AA44" s="94">
        <f>+DIM!S32</f>
        <v>5</v>
      </c>
      <c r="AE44" s="95">
        <f>+HLOOKUP(AA44,AB14:AI43,30,FALSE)</f>
        <v>5.9</v>
      </c>
      <c r="AK44" s="93">
        <f>+DIM!S32</f>
        <v>5</v>
      </c>
      <c r="AO44" s="95">
        <f>+HLOOKUP(AK44,AL14:AS43,30,FALSE)</f>
        <v>4.95</v>
      </c>
      <c r="AU44" s="93">
        <f>+DIM!S32</f>
        <v>5</v>
      </c>
      <c r="AY44" s="95">
        <f>+HLOOKUP(AU44,AV14:BC43,30,FALSE)</f>
        <v>7.1</v>
      </c>
      <c r="BE44" s="93">
        <f>+AU44</f>
        <v>5</v>
      </c>
      <c r="BI44" s="95">
        <f>+HLOOKUP(BE44,BF14:BM43,30,FALSE)</f>
        <v>6.05</v>
      </c>
    </row>
    <row r="45" spans="5:65" hidden="1" x14ac:dyDescent="0.2">
      <c r="E45" s="89">
        <f>+DIM!Q32</f>
        <v>15</v>
      </c>
      <c r="F45" s="89" t="s">
        <v>65</v>
      </c>
      <c r="G45" s="89" t="str">
        <f>+E45&amp;"+"&amp;G44</f>
        <v>15+5</v>
      </c>
      <c r="K45" s="96" t="str">
        <f>+K10&amp;"+"&amp;G44</f>
        <v>12+5</v>
      </c>
      <c r="U45" s="96" t="str">
        <f>+T10&amp;"+"&amp;Q44</f>
        <v>12+5</v>
      </c>
      <c r="AE45" s="96" t="str">
        <f>+AD10&amp;"+"&amp;AA44</f>
        <v>15+5</v>
      </c>
      <c r="AO45" s="96" t="str">
        <f>+AN10&amp;"+"&amp;AK44</f>
        <v>15+5</v>
      </c>
      <c r="AY45" s="96" t="str">
        <f>+AX10&amp;"+"&amp;AU44</f>
        <v>20+5</v>
      </c>
      <c r="BI45" s="96" t="str">
        <f>+BH10&amp;"+"&amp;BE44</f>
        <v>20+5</v>
      </c>
    </row>
    <row r="46" spans="5:65" hidden="1" x14ac:dyDescent="0.2">
      <c r="F46" s="89" t="s">
        <v>66</v>
      </c>
      <c r="G46" s="89" t="str">
        <f>+DIM!S19</f>
        <v>avec etai</v>
      </c>
      <c r="K46" s="90">
        <f>+HLOOKUP(G44,H14:O40,27,FALSE)</f>
        <v>180</v>
      </c>
      <c r="U46" s="90">
        <f>+HLOOKUP(Q44,R14:Y40,27,FALSE)</f>
        <v>170</v>
      </c>
      <c r="AE46" s="90">
        <f>+HLOOKUP(AA44,AB14:AI40,27,FALSE)</f>
        <v>210</v>
      </c>
      <c r="AO46" s="90">
        <f>+HLOOKUP(AK44,AL14:AS40,27,FALSE)</f>
        <v>200</v>
      </c>
      <c r="AY46" s="90">
        <f>+HLOOKUP(AU44,AV14:BC40,27,FALSE)</f>
        <v>271</v>
      </c>
      <c r="BI46" s="90">
        <f>+HLOOKUP(BE44,BF14:BM40,27,FALSE)</f>
        <v>271</v>
      </c>
    </row>
    <row r="47" spans="5:65" hidden="1" x14ac:dyDescent="0.2">
      <c r="F47" s="89">
        <v>12</v>
      </c>
      <c r="G47" s="89">
        <f>+IF($G$46="avec etai",K44,U44)</f>
        <v>4.7</v>
      </c>
      <c r="H47" s="89">
        <f>+IF($G$46="avec etai",K46,U46)</f>
        <v>180</v>
      </c>
      <c r="I47" s="89">
        <f>+IF($G$46="avec etai",K47,U47)</f>
        <v>62</v>
      </c>
      <c r="J47" s="89" t="e">
        <f>+HLOOKUP(G45,H54:O56,3,FALSE)</f>
        <v>#N/A</v>
      </c>
      <c r="K47" s="90">
        <f>+HLOOKUP(G44,H14:O41,28,FALSE)</f>
        <v>62</v>
      </c>
      <c r="U47" s="90">
        <f>+HLOOKUP(Q44,R14:Y41,28,FALSE)</f>
        <v>60</v>
      </c>
      <c r="AE47" s="90">
        <f>+HLOOKUP(AA44,AB14:AI41,28,FALSE)</f>
        <v>73</v>
      </c>
      <c r="AO47" s="90">
        <f>+HLOOKUP(AK44,AL14:AS41,28,FALSE)</f>
        <v>73</v>
      </c>
      <c r="AY47" s="90">
        <f>+HLOOKUP(AU44,AV14:BC41,28,FALSE)</f>
        <v>91</v>
      </c>
      <c r="BI47" s="90">
        <f>+HLOOKUP(BE44,BF14:BM41,28,FALSE)</f>
        <v>91</v>
      </c>
    </row>
    <row r="48" spans="5:65" ht="19.5" hidden="1" x14ac:dyDescent="0.3">
      <c r="F48" s="89">
        <v>15</v>
      </c>
      <c r="G48" s="89">
        <f>+IF($G$46="avec etai",AE44,AO44)</f>
        <v>5.9</v>
      </c>
      <c r="H48" s="89">
        <f>+IF($G$46="avec etai",AE46,AO46)</f>
        <v>210</v>
      </c>
      <c r="I48" s="89">
        <f>+IF($G$46="avec etai",AE47,AO47)</f>
        <v>73</v>
      </c>
      <c r="J48" s="89">
        <f>+HLOOKUP(G45,AB54:AI56,3,FALSE)</f>
        <v>39.26</v>
      </c>
      <c r="L48" s="91">
        <v>12</v>
      </c>
      <c r="U48" s="91">
        <v>12</v>
      </c>
      <c r="AE48" s="91">
        <v>15</v>
      </c>
      <c r="AO48" s="91">
        <v>15</v>
      </c>
      <c r="AY48" s="91">
        <v>20</v>
      </c>
      <c r="BI48" s="91">
        <v>20</v>
      </c>
    </row>
    <row r="49" spans="5:65" hidden="1" x14ac:dyDescent="0.2">
      <c r="F49" s="89">
        <v>20</v>
      </c>
      <c r="G49" s="89">
        <f>+IF($G$46="avec etai",AY44,BI44)</f>
        <v>7.1</v>
      </c>
      <c r="H49" s="89">
        <f>+IF($G$46="avec etai",AY46,BI46)</f>
        <v>271</v>
      </c>
      <c r="I49" s="89">
        <f>+IF($G$46="avec etai",AY47,BI47)</f>
        <v>91</v>
      </c>
      <c r="J49" s="89" t="e">
        <f>+HLOOKUP(G45,AV54:BC56,3,FALSE)</f>
        <v>#N/A</v>
      </c>
      <c r="L49" s="90" t="s">
        <v>78</v>
      </c>
      <c r="U49" s="90" t="s">
        <v>79</v>
      </c>
      <c r="AE49" s="90" t="s">
        <v>78</v>
      </c>
      <c r="AO49" s="90" t="s">
        <v>79</v>
      </c>
      <c r="AY49" s="90" t="s">
        <v>78</v>
      </c>
      <c r="BI49" s="90" t="s">
        <v>79</v>
      </c>
    </row>
    <row r="50" spans="5:65" hidden="1" x14ac:dyDescent="0.2">
      <c r="E50" s="89" t="s">
        <v>70</v>
      </c>
      <c r="F50" s="89" t="s">
        <v>74</v>
      </c>
      <c r="G50" s="89">
        <f>IF(E45&gt;20,"--",+VLOOKUP(+DIM!Q32,polyseac!F47:I49,2,FALSE))</f>
        <v>5.9</v>
      </c>
    </row>
    <row r="51" spans="5:65" hidden="1" x14ac:dyDescent="0.2">
      <c r="F51" s="89" t="s">
        <v>75</v>
      </c>
      <c r="G51" s="89">
        <f>IF(E45&gt;20,0,+VLOOKUP(+DIM!Q32,polyseac!F47:I49,3,FALSE))</f>
        <v>210</v>
      </c>
    </row>
    <row r="52" spans="5:65" hidden="1" x14ac:dyDescent="0.2">
      <c r="F52" s="89" t="s">
        <v>72</v>
      </c>
      <c r="G52" s="89">
        <f>IF(E45&gt;20,0,+VLOOKUP(+DIM!Q32,polyseac!F47:I49,4,FALSE))</f>
        <v>73</v>
      </c>
    </row>
    <row r="53" spans="5:65" hidden="1" x14ac:dyDescent="0.2">
      <c r="F53" s="89" t="s">
        <v>275</v>
      </c>
      <c r="G53" s="89">
        <f>IF(E45&gt;20,0,+VLOOKUP(+E45,F47:J49,5,FALSE))</f>
        <v>39.26</v>
      </c>
    </row>
    <row r="54" spans="5:65" hidden="1" x14ac:dyDescent="0.2">
      <c r="H54" s="230" t="s">
        <v>111</v>
      </c>
      <c r="I54" s="230"/>
      <c r="J54" s="230" t="s">
        <v>112</v>
      </c>
      <c r="K54" s="230"/>
      <c r="L54" s="230" t="s">
        <v>113</v>
      </c>
      <c r="M54" s="230"/>
      <c r="N54" s="230" t="s">
        <v>114</v>
      </c>
      <c r="O54" s="230"/>
      <c r="R54" s="230" t="s">
        <v>111</v>
      </c>
      <c r="S54" s="230"/>
      <c r="T54" s="230" t="s">
        <v>112</v>
      </c>
      <c r="U54" s="230"/>
      <c r="V54" s="230" t="s">
        <v>113</v>
      </c>
      <c r="W54" s="230"/>
      <c r="X54" s="230" t="s">
        <v>114</v>
      </c>
      <c r="Y54" s="230"/>
      <c r="AB54" s="230" t="s">
        <v>115</v>
      </c>
      <c r="AC54" s="230"/>
      <c r="AD54" s="230" t="s">
        <v>116</v>
      </c>
      <c r="AE54" s="230"/>
      <c r="AF54" s="230" t="s">
        <v>117</v>
      </c>
      <c r="AG54" s="230"/>
      <c r="AH54" s="230" t="s">
        <v>118</v>
      </c>
      <c r="AI54" s="230"/>
      <c r="AL54" s="230" t="s">
        <v>115</v>
      </c>
      <c r="AM54" s="230"/>
      <c r="AN54" s="230" t="s">
        <v>116</v>
      </c>
      <c r="AO54" s="230"/>
      <c r="AP54" s="230" t="s">
        <v>117</v>
      </c>
      <c r="AQ54" s="230"/>
      <c r="AR54" s="230" t="s">
        <v>118</v>
      </c>
      <c r="AS54" s="230"/>
      <c r="AV54" s="230" t="s">
        <v>119</v>
      </c>
      <c r="AW54" s="230"/>
      <c r="AX54" s="230" t="s">
        <v>120</v>
      </c>
      <c r="AY54" s="230"/>
      <c r="AZ54" s="230" t="s">
        <v>121</v>
      </c>
      <c r="BA54" s="230"/>
      <c r="BB54" s="230" t="s">
        <v>122</v>
      </c>
      <c r="BC54" s="230"/>
      <c r="BF54" s="230" t="s">
        <v>119</v>
      </c>
      <c r="BG54" s="230"/>
      <c r="BH54" s="230" t="s">
        <v>120</v>
      </c>
      <c r="BI54" s="230"/>
      <c r="BJ54" s="230" t="s">
        <v>121</v>
      </c>
      <c r="BK54" s="230"/>
      <c r="BL54" s="230" t="s">
        <v>122</v>
      </c>
      <c r="BM54" s="230"/>
    </row>
    <row r="55" spans="5:65" hidden="1" x14ac:dyDescent="0.2">
      <c r="F55" s="93">
        <f>+DIM!S10-0.01</f>
        <v>4.99</v>
      </c>
      <c r="H55" s="230">
        <f>+IF(H43&gt;$F$55,1,0)</f>
        <v>0</v>
      </c>
      <c r="I55" s="230"/>
      <c r="J55" s="230">
        <f>+IF(J43&gt;$F$55,1,0)</f>
        <v>0</v>
      </c>
      <c r="K55" s="230"/>
      <c r="L55" s="230">
        <f>+IF(L43&gt;$F$55,1,0)</f>
        <v>1</v>
      </c>
      <c r="M55" s="230"/>
      <c r="N55" s="230">
        <f>+IF(N43&gt;$F$55,1,0)</f>
        <v>1</v>
      </c>
      <c r="O55" s="230"/>
      <c r="R55" s="230">
        <f>+IF(R43&gt;$F$55,1,0)</f>
        <v>0</v>
      </c>
      <c r="S55" s="230"/>
      <c r="T55" s="230">
        <f>+IF(T43&gt;$F$55,1,0)</f>
        <v>0</v>
      </c>
      <c r="U55" s="230"/>
      <c r="V55" s="230">
        <f>+IF(V43&gt;$F$55,1,0)</f>
        <v>0</v>
      </c>
      <c r="W55" s="230"/>
      <c r="X55" s="230">
        <f>+IF(X43&gt;$F$55,1,0)</f>
        <v>0</v>
      </c>
      <c r="Y55" s="230"/>
      <c r="AB55" s="230">
        <f>+IF(AB43&gt;$F$55,1,0)</f>
        <v>1</v>
      </c>
      <c r="AC55" s="230"/>
      <c r="AD55" s="230">
        <f>+IF(AD43&gt;$F$55,1,0)</f>
        <v>1</v>
      </c>
      <c r="AE55" s="230"/>
      <c r="AF55" s="230">
        <f>+IF(AF43&gt;$F$55,1,0)</f>
        <v>1</v>
      </c>
      <c r="AG55" s="230"/>
      <c r="AH55" s="230">
        <f>+IF(AH43&gt;$F$55,1,0)</f>
        <v>1</v>
      </c>
      <c r="AI55" s="230"/>
      <c r="AL55" s="230">
        <f>+IF(AL43&gt;$F$55,1,0)</f>
        <v>0</v>
      </c>
      <c r="AM55" s="230"/>
      <c r="AN55" s="230">
        <f>+IF(AN43&gt;$F$55,1,0)</f>
        <v>1</v>
      </c>
      <c r="AO55" s="230"/>
      <c r="AP55" s="230">
        <f>+IF(AP43&gt;$F$55,1,0)</f>
        <v>1</v>
      </c>
      <c r="AQ55" s="230"/>
      <c r="AR55" s="230">
        <f>+IF(AR43&gt;$F$55,1,0)</f>
        <v>1</v>
      </c>
      <c r="AS55" s="230"/>
      <c r="AV55" s="230">
        <f>+IF(AV43&gt;$F$55,1,0)</f>
        <v>1</v>
      </c>
      <c r="AW55" s="230"/>
      <c r="AX55" s="230">
        <f>+IF(AX43&gt;$F$55,1,0)</f>
        <v>1</v>
      </c>
      <c r="AY55" s="230"/>
      <c r="AZ55" s="230">
        <f>+IF(AZ43&gt;$F$55,1,0)</f>
        <v>1</v>
      </c>
      <c r="BA55" s="230"/>
      <c r="BB55" s="230">
        <f>+IF(BB43&gt;$F$55,1,0)</f>
        <v>1</v>
      </c>
      <c r="BC55" s="230"/>
      <c r="BF55" s="230"/>
      <c r="BG55" s="230"/>
      <c r="BH55" s="230">
        <f>+IF(BH43&gt;$F$55,1,0)</f>
        <v>1</v>
      </c>
      <c r="BI55" s="230"/>
      <c r="BJ55" s="230">
        <f>+IF(BJ43&gt;$F$55,1,0)</f>
        <v>1</v>
      </c>
      <c r="BK55" s="230"/>
      <c r="BL55" s="230">
        <f>+IF(BL43&gt;$F$55,1,0)</f>
        <v>1</v>
      </c>
      <c r="BM55" s="230"/>
    </row>
    <row r="56" spans="5:65" hidden="1" x14ac:dyDescent="0.2">
      <c r="F56" s="89" t="s">
        <v>275</v>
      </c>
      <c r="G56" s="89">
        <f>+DIM!H18</f>
        <v>11</v>
      </c>
      <c r="H56" s="230">
        <f>+VLOOKUP(G56,F61:G66,2,FALSE)</f>
        <v>36.6</v>
      </c>
      <c r="I56" s="230"/>
      <c r="J56" s="230">
        <f>+VLOOKUP(G56,F61:G66,2,FALSE)+1.97</f>
        <v>38.57</v>
      </c>
      <c r="K56" s="230"/>
      <c r="L56" s="230">
        <f>+VLOOKUP(G56,F61:G66,2,FALSE)+3.94</f>
        <v>40.54</v>
      </c>
      <c r="M56" s="230"/>
      <c r="N56" s="230">
        <f>+VLOOKUP(G56,F61:G66,2,FALSE)+5.91</f>
        <v>42.510000000000005</v>
      </c>
      <c r="O56" s="230"/>
      <c r="R56" s="230">
        <f>+VLOOKUP(G56,P61:Q66,2,FALSE)</f>
        <v>36.950000000000003</v>
      </c>
      <c r="S56" s="230"/>
      <c r="T56" s="230">
        <f>+VLOOKUP(G56,F61:G66,2,FALSE)+1.97</f>
        <v>38.57</v>
      </c>
      <c r="U56" s="230"/>
      <c r="V56" s="230">
        <f>+VLOOKUP(G56,F61:G66,2,FALSE)+3.94</f>
        <v>40.54</v>
      </c>
      <c r="W56" s="230"/>
      <c r="X56" s="230">
        <f>+VLOOKUP(G56,F61:G66,2,FALSE)+5.91</f>
        <v>42.510000000000005</v>
      </c>
      <c r="Y56" s="230"/>
      <c r="AA56" s="89">
        <f>+G56</f>
        <v>11</v>
      </c>
      <c r="AB56" s="230">
        <f>+VLOOKUP(AA56,Z60:AA65,2,FALSE)</f>
        <v>39.26</v>
      </c>
      <c r="AC56" s="230"/>
      <c r="AD56" s="230">
        <f>+VLOOKUP(AA56,Z60:AA65,2,FALSE)+1.97</f>
        <v>41.23</v>
      </c>
      <c r="AE56" s="230"/>
      <c r="AF56" s="230">
        <f>+VLOOKUP(AA56,Z60:AA65,2,FALSE)+4-3.94</f>
        <v>39.32</v>
      </c>
      <c r="AG56" s="230"/>
      <c r="AH56" s="230">
        <f>+VLOOKUP(AA56,Z60:AA65,2,FALSE)+5.91</f>
        <v>45.17</v>
      </c>
      <c r="AI56" s="230"/>
      <c r="AL56" s="230">
        <f>+VLOOKUP(AA56,Z60:AA65,2,FALSE)</f>
        <v>39.26</v>
      </c>
      <c r="AM56" s="230"/>
      <c r="AN56" s="230">
        <f>+VLOOKUP(AA56,Z60:AA65,2,FALSE)+1.97</f>
        <v>41.23</v>
      </c>
      <c r="AO56" s="230"/>
      <c r="AP56" s="230">
        <f>+VLOOKUP(AA56,Z60:AA65,2,FALSE)+3.94</f>
        <v>43.199999999999996</v>
      </c>
      <c r="AQ56" s="230"/>
      <c r="AR56" s="230">
        <f>+VLOOKUP(AA56,Z60:AA65,2,FALSE)+5.91</f>
        <v>45.17</v>
      </c>
      <c r="AS56" s="230"/>
      <c r="AT56" s="89">
        <f>+G56</f>
        <v>11</v>
      </c>
      <c r="AV56" s="230">
        <f>+VLOOKUP(AT56,AT59:AU64,2,FALSE)</f>
        <v>44.99</v>
      </c>
      <c r="AW56" s="230"/>
      <c r="AX56" s="230">
        <f>+VLOOKUP(AT56,AT59:AU64,2,FALSE)+1.97</f>
        <v>46.96</v>
      </c>
      <c r="AY56" s="230"/>
      <c r="AZ56" s="230">
        <f>+VLOOKUP(AT56,AT59:AU64,2,FALSE)+3.94</f>
        <v>48.93</v>
      </c>
      <c r="BA56" s="230"/>
      <c r="BB56" s="230">
        <f>+VLOOKUP(AT56,AT59:AU64,2,FALSE)+5.91</f>
        <v>50.900000000000006</v>
      </c>
      <c r="BC56" s="230"/>
      <c r="BF56" s="230">
        <f>+VLOOKUP(AT56,AT59:AU64,2,FALSE)</f>
        <v>44.99</v>
      </c>
      <c r="BG56" s="230"/>
      <c r="BH56" s="230">
        <f>+VLOOKUP(AT56,AT59:AU64,2,FALSE)+1.97</f>
        <v>46.96</v>
      </c>
      <c r="BI56" s="230"/>
      <c r="BJ56" s="230">
        <f>+VLOOKUP(AT56,AT59:AU64,2,FALSE)+3.94</f>
        <v>48.93</v>
      </c>
      <c r="BK56" s="230"/>
      <c r="BL56" s="230">
        <f>+VLOOKUP(AT56,AT59:AU64,2,FALSE)+5.91</f>
        <v>50.900000000000006</v>
      </c>
      <c r="BM56" s="230"/>
    </row>
    <row r="57" spans="5:65" hidden="1" x14ac:dyDescent="0.2">
      <c r="T57" s="89" t="s">
        <v>164</v>
      </c>
    </row>
    <row r="58" spans="5:65" hidden="1" x14ac:dyDescent="0.2">
      <c r="K58" s="89" t="str">
        <f>+IF(H55=1,H54,IF(J55=1,J54,IF(L55=1,L54,IF(N55=1,N54,0))))</f>
        <v>12+7</v>
      </c>
      <c r="L58" s="89" t="str">
        <f>+AE58</f>
        <v>15+5</v>
      </c>
      <c r="M58" s="89" t="str">
        <f>+AY58</f>
        <v>20+5</v>
      </c>
      <c r="U58" s="89">
        <f>+IF(R55=1,R54,IF(T55=1,T54,IF(V55=1,V54,IF(X55=1,X54,0))))</f>
        <v>0</v>
      </c>
      <c r="V58" s="89" t="str">
        <f>+AO58</f>
        <v>15+6</v>
      </c>
      <c r="W58" s="89" t="str">
        <f>+BI58</f>
        <v>20+6</v>
      </c>
      <c r="AE58" s="89" t="str">
        <f>+IF(AB55=1,AB54,IF(AD55=1,AD54,IF(AF55=1,AF54,IF(AH55=1,AH54,0))))</f>
        <v>15+5</v>
      </c>
      <c r="AO58" s="89" t="str">
        <f>+IF(AL55=1,AL54,IF(AN55=1,AN54,IF(AP55=1,AP54,IF(AR55=1,AR54,0))))</f>
        <v>15+6</v>
      </c>
      <c r="AT58" s="120" t="s">
        <v>273</v>
      </c>
      <c r="AU58" s="120" t="s">
        <v>278</v>
      </c>
      <c r="AY58" s="89" t="str">
        <f>+IF(AV55=1,AV54,IF(AX55=1,AX54,IF(AZ55=1,AZ54,IF(BB55=1,BB54,0))))</f>
        <v>20+5</v>
      </c>
      <c r="BI58" s="89" t="str">
        <f>+IF(BF55=1,BF54,IF(BH55=1,BH54,IF(BJ55=1,BJ54,IF(BL55=1,BL54,0))))</f>
        <v>20+6</v>
      </c>
    </row>
    <row r="59" spans="5:65" hidden="1" x14ac:dyDescent="0.2">
      <c r="J59" s="90" t="str">
        <f>+IF(K58&gt;0,K58,IF(L58&gt;0,L58,IF(M58&gt;0,M58,"hors limites")))</f>
        <v>12+7</v>
      </c>
      <c r="T59" s="90" t="str">
        <f>+IF(U58&gt;0,U58,IF(V58&gt;0,V58,IF(W58&gt;0,W58,"hors limites")))</f>
        <v>15+6</v>
      </c>
      <c r="Z59" s="120" t="s">
        <v>273</v>
      </c>
      <c r="AA59" s="120" t="s">
        <v>276</v>
      </c>
      <c r="AT59" s="89">
        <v>11</v>
      </c>
      <c r="AU59" s="89">
        <v>44.99</v>
      </c>
    </row>
    <row r="60" spans="5:65" hidden="1" x14ac:dyDescent="0.2">
      <c r="E60" s="90" t="s">
        <v>164</v>
      </c>
      <c r="F60" s="120" t="s">
        <v>273</v>
      </c>
      <c r="G60" s="120" t="s">
        <v>277</v>
      </c>
      <c r="I60" s="89" t="s">
        <v>75</v>
      </c>
      <c r="J60" s="90">
        <f>+IF(K58&gt;0,K60,IF(L58&gt;0,L60,IF(M58&gt;0,M60,0)))</f>
        <v>225</v>
      </c>
      <c r="K60" s="89">
        <f>+HLOOKUP(J59,H13:O41,28,FALSE)</f>
        <v>225</v>
      </c>
      <c r="L60" s="89">
        <f>+HLOOKUP(L58,AB13:AI41,28,FALSE)</f>
        <v>210</v>
      </c>
      <c r="M60" s="89">
        <f>+HLOOKUP(M58,AV13:BC41,28,FALSE)</f>
        <v>271</v>
      </c>
      <c r="P60" s="120" t="s">
        <v>273</v>
      </c>
      <c r="Q60" s="120" t="s">
        <v>277</v>
      </c>
      <c r="S60" s="89" t="s">
        <v>75</v>
      </c>
      <c r="T60" s="90">
        <f>+IF(U58&gt;0,U60,IF(V58&gt;0,V60,IF(W58&gt;0,W60,0)))</f>
        <v>235</v>
      </c>
      <c r="U60" s="89" t="e">
        <f>+HLOOKUP(U58,R13:Y41,28,FALSE)</f>
        <v>#N/A</v>
      </c>
      <c r="V60" s="89">
        <f>+HLOOKUP(V58,AL13:AS41,28,FALSE)</f>
        <v>235</v>
      </c>
      <c r="W60" s="89">
        <f>+HLOOKUP(W58,BF13:BM41,28,FALSE)</f>
        <v>294</v>
      </c>
      <c r="Z60" s="89">
        <v>11</v>
      </c>
      <c r="AA60" s="89">
        <v>39.26</v>
      </c>
      <c r="AT60" s="89">
        <v>15</v>
      </c>
      <c r="AU60" s="89">
        <v>44.99</v>
      </c>
    </row>
    <row r="61" spans="5:65" hidden="1" x14ac:dyDescent="0.2">
      <c r="F61" s="89">
        <v>11</v>
      </c>
      <c r="G61" s="89">
        <v>36.6</v>
      </c>
      <c r="I61" s="89" t="s">
        <v>72</v>
      </c>
      <c r="J61" s="90">
        <f>+IF(K58&gt;0,K61,IF(L58&gt;0,L61,IF(M58&gt;0,M61,0)))</f>
        <v>82</v>
      </c>
      <c r="K61" s="89">
        <f>+HLOOKUP(J59,H13:O41,29,FALSE)</f>
        <v>82</v>
      </c>
      <c r="L61" s="89">
        <f>+HLOOKUP(L58,AB13:AI41,29,FALSE)</f>
        <v>73</v>
      </c>
      <c r="M61" s="89">
        <f>+HLOOKUP(M58,AV13:BC41,29,FALSE)</f>
        <v>91</v>
      </c>
      <c r="P61" s="89">
        <v>11</v>
      </c>
      <c r="Q61" s="89">
        <v>36.950000000000003</v>
      </c>
      <c r="S61" s="89" t="s">
        <v>72</v>
      </c>
      <c r="T61" s="90">
        <f>+IF(U58&gt;0,U61,IF(V58&gt;0,V61,IF(W58&gt;0,W61,0)))</f>
        <v>78</v>
      </c>
      <c r="U61" s="89" t="e">
        <f>+HLOOKUP(U58,R13:Y41,29,FALSE)</f>
        <v>#N/A</v>
      </c>
      <c r="V61" s="89">
        <f>+HLOOKUP(V58,AL13:AS41,29,FALSE)</f>
        <v>78</v>
      </c>
      <c r="W61" s="89">
        <f>+HLOOKUP(W58,BF13:BM41,29,FALSE)</f>
        <v>101</v>
      </c>
      <c r="Z61" s="89">
        <v>15</v>
      </c>
      <c r="AA61" s="89">
        <v>39.26</v>
      </c>
      <c r="AT61" s="89">
        <v>19</v>
      </c>
      <c r="AU61" s="89">
        <v>40.5</v>
      </c>
    </row>
    <row r="62" spans="5:65" hidden="1" x14ac:dyDescent="0.2">
      <c r="F62" s="89">
        <v>15</v>
      </c>
      <c r="G62" s="89">
        <v>36.6</v>
      </c>
      <c r="H62" s="89">
        <f>+DIM!H18</f>
        <v>11</v>
      </c>
      <c r="I62" s="89" t="s">
        <v>274</v>
      </c>
      <c r="J62" s="90">
        <f>+IF(K58&gt;0,K62,IF(L58&gt;0,L62,IF(M58&gt;0,M62,0)))</f>
        <v>40.54</v>
      </c>
      <c r="K62" s="89">
        <f>+HLOOKUP(K58,H54:O56,3,FALSE)</f>
        <v>40.54</v>
      </c>
      <c r="L62" s="89">
        <f>+HLOOKUP(L58,AB54:AI56,3,FALSE)</f>
        <v>39.26</v>
      </c>
      <c r="M62" s="89">
        <f>+HLOOKUP(M58,AV54:BC56,3,FALSE)</f>
        <v>44.99</v>
      </c>
      <c r="P62" s="89">
        <v>15</v>
      </c>
      <c r="Q62" s="89">
        <v>36.950000000000003</v>
      </c>
      <c r="S62" s="89" t="s">
        <v>274</v>
      </c>
      <c r="T62" s="90">
        <f>+IF(U58&gt;0,U62,IF(V58&gt;0,V62,IF(W58&gt;0,W62,0)))</f>
        <v>41.23</v>
      </c>
      <c r="U62" s="89" t="e">
        <f>+HLOOKUP(U58,R54:Y56,3,FALSE)</f>
        <v>#N/A</v>
      </c>
      <c r="V62" s="89">
        <f>+HLOOKUP(V58,AL54:AS56,3,FALSE)</f>
        <v>41.23</v>
      </c>
      <c r="W62" s="89">
        <f>+HLOOKUP(W58,BF54:BM56,3,FALSE)</f>
        <v>46.96</v>
      </c>
      <c r="Z62" s="89">
        <v>19</v>
      </c>
      <c r="AA62" s="89">
        <v>34.770000000000003</v>
      </c>
      <c r="AT62" s="89">
        <v>23</v>
      </c>
      <c r="AU62" s="89">
        <v>37.47</v>
      </c>
    </row>
    <row r="63" spans="5:65" hidden="1" x14ac:dyDescent="0.2">
      <c r="F63" s="89">
        <v>19</v>
      </c>
      <c r="G63" s="89">
        <v>32.11</v>
      </c>
      <c r="P63" s="89">
        <v>19</v>
      </c>
      <c r="Q63" s="89">
        <v>32.46</v>
      </c>
      <c r="Z63" s="89">
        <v>23</v>
      </c>
      <c r="AA63" s="89">
        <v>31.74</v>
      </c>
      <c r="AT63" s="89">
        <v>27</v>
      </c>
      <c r="AU63" s="89">
        <v>37.47</v>
      </c>
    </row>
    <row r="64" spans="5:65" hidden="1" x14ac:dyDescent="0.2">
      <c r="F64" s="89">
        <v>23</v>
      </c>
      <c r="G64" s="89">
        <v>29.08</v>
      </c>
      <c r="P64" s="89">
        <v>23</v>
      </c>
      <c r="Q64" s="89">
        <v>29.43</v>
      </c>
      <c r="Z64" s="89">
        <v>27</v>
      </c>
      <c r="AA64" s="89">
        <v>31.74</v>
      </c>
      <c r="AT64" s="89">
        <v>30</v>
      </c>
      <c r="AU64" s="89">
        <v>37.47</v>
      </c>
    </row>
    <row r="65" spans="6:27" hidden="1" x14ac:dyDescent="0.2">
      <c r="F65" s="89">
        <v>27</v>
      </c>
      <c r="G65" s="89">
        <v>29.08</v>
      </c>
      <c r="P65" s="89">
        <v>27</v>
      </c>
      <c r="Q65" s="89">
        <v>29.43</v>
      </c>
      <c r="Z65" s="89">
        <v>30</v>
      </c>
      <c r="AA65" s="89">
        <v>31.74</v>
      </c>
    </row>
    <row r="66" spans="6:27" hidden="1" x14ac:dyDescent="0.2">
      <c r="F66" s="89">
        <v>30</v>
      </c>
      <c r="G66" s="89">
        <v>29.08</v>
      </c>
      <c r="P66" s="89">
        <v>30</v>
      </c>
      <c r="Q66" s="89">
        <v>29.43</v>
      </c>
    </row>
    <row r="67" spans="6:27" hidden="1" x14ac:dyDescent="0.2"/>
    <row r="68" spans="6:27" hidden="1" x14ac:dyDescent="0.2"/>
    <row r="69" spans="6:27" hidden="1" x14ac:dyDescent="0.2"/>
    <row r="70" spans="6:27" hidden="1" x14ac:dyDescent="0.2"/>
  </sheetData>
  <sheetProtection algorithmName="SHA-512" hashValue="1LIvCr2XhEwAhPcPBvcnY5z1L4iy7a8kT3+FpAKq4SfFoxzD2pG5hfqlKV7rbWjlXSAxrvZmD5swVJ2iwurS7A==" saltValue="ZxYzHlavw5/wkY89f8XnVw==" spinCount="100000" sheet="1" objects="1" scenarios="1"/>
  <mergeCells count="176">
    <mergeCell ref="BH56:BI56"/>
    <mergeCell ref="BJ56:BK56"/>
    <mergeCell ref="BL56:BM56"/>
    <mergeCell ref="H56:I56"/>
    <mergeCell ref="J56:K56"/>
    <mergeCell ref="L56:M56"/>
    <mergeCell ref="N56:O56"/>
    <mergeCell ref="R56:S56"/>
    <mergeCell ref="T56:U56"/>
    <mergeCell ref="V56:W56"/>
    <mergeCell ref="X56:Y56"/>
    <mergeCell ref="AL56:AM56"/>
    <mergeCell ref="AB56:AC56"/>
    <mergeCell ref="AD56:AE56"/>
    <mergeCell ref="AF56:AG56"/>
    <mergeCell ref="AH56:AI56"/>
    <mergeCell ref="H54:I54"/>
    <mergeCell ref="J54:K54"/>
    <mergeCell ref="L54:M54"/>
    <mergeCell ref="N54:O54"/>
    <mergeCell ref="AR55:AS55"/>
    <mergeCell ref="AV54:AW54"/>
    <mergeCell ref="AX54:AY54"/>
    <mergeCell ref="AZ54:BA54"/>
    <mergeCell ref="BB54:BC54"/>
    <mergeCell ref="AF54:AG54"/>
    <mergeCell ref="AH54:AI54"/>
    <mergeCell ref="AL55:AM55"/>
    <mergeCell ref="AN55:AO55"/>
    <mergeCell ref="AP55:AQ55"/>
    <mergeCell ref="T55:U55"/>
    <mergeCell ref="V55:W55"/>
    <mergeCell ref="X55:Y55"/>
    <mergeCell ref="AB54:AC54"/>
    <mergeCell ref="AD54:AE54"/>
    <mergeCell ref="H55:I55"/>
    <mergeCell ref="J55:K55"/>
    <mergeCell ref="L55:M55"/>
    <mergeCell ref="N55:O55"/>
    <mergeCell ref="R55:S55"/>
    <mergeCell ref="X41:Y41"/>
    <mergeCell ref="BL41:BM41"/>
    <mergeCell ref="BJ41:BK41"/>
    <mergeCell ref="AL43:AM43"/>
    <mergeCell ref="AN43:AO43"/>
    <mergeCell ref="AP43:AQ43"/>
    <mergeCell ref="AR43:AS43"/>
    <mergeCell ref="BF43:BG43"/>
    <mergeCell ref="BH43:BI43"/>
    <mergeCell ref="BJ43:BK43"/>
    <mergeCell ref="AV43:AW43"/>
    <mergeCell ref="AX43:AY43"/>
    <mergeCell ref="BL43:BM43"/>
    <mergeCell ref="AV41:AW41"/>
    <mergeCell ref="AX41:AY41"/>
    <mergeCell ref="AZ41:BA41"/>
    <mergeCell ref="BB41:BC41"/>
    <mergeCell ref="AZ43:BA43"/>
    <mergeCell ref="BB43:BC43"/>
    <mergeCell ref="BH41:BI41"/>
    <mergeCell ref="BF41:BG41"/>
    <mergeCell ref="BL14:BM14"/>
    <mergeCell ref="AV14:AW14"/>
    <mergeCell ref="AX14:AY14"/>
    <mergeCell ref="BH14:BI14"/>
    <mergeCell ref="BJ14:BK14"/>
    <mergeCell ref="AZ14:BA14"/>
    <mergeCell ref="BB14:BC14"/>
    <mergeCell ref="BF14:BG14"/>
    <mergeCell ref="BL40:BM40"/>
    <mergeCell ref="AX40:AY40"/>
    <mergeCell ref="AV40:AW40"/>
    <mergeCell ref="AZ40:BA40"/>
    <mergeCell ref="BJ40:BK40"/>
    <mergeCell ref="BB40:BC40"/>
    <mergeCell ref="BF40:BG40"/>
    <mergeCell ref="BH40:BI40"/>
    <mergeCell ref="AL14:AM14"/>
    <mergeCell ref="H14:I14"/>
    <mergeCell ref="J14:K14"/>
    <mergeCell ref="L14:M14"/>
    <mergeCell ref="N14:O14"/>
    <mergeCell ref="H43:I43"/>
    <mergeCell ref="J43:K43"/>
    <mergeCell ref="L43:M43"/>
    <mergeCell ref="N43:O43"/>
    <mergeCell ref="H40:I40"/>
    <mergeCell ref="J40:K40"/>
    <mergeCell ref="L40:M40"/>
    <mergeCell ref="N40:O40"/>
    <mergeCell ref="H41:I41"/>
    <mergeCell ref="J41:K41"/>
    <mergeCell ref="L41:M41"/>
    <mergeCell ref="N41:O41"/>
    <mergeCell ref="R43:S43"/>
    <mergeCell ref="T43:U43"/>
    <mergeCell ref="V43:W43"/>
    <mergeCell ref="X43:Y43"/>
    <mergeCell ref="R41:S41"/>
    <mergeCell ref="T41:U41"/>
    <mergeCell ref="V41:W41"/>
    <mergeCell ref="AN14:AO14"/>
    <mergeCell ref="AP14:AQ14"/>
    <mergeCell ref="AR14:AS14"/>
    <mergeCell ref="AL54:AM54"/>
    <mergeCell ref="R14:S14"/>
    <mergeCell ref="T14:U14"/>
    <mergeCell ref="V14:W14"/>
    <mergeCell ref="X14:Y14"/>
    <mergeCell ref="R40:S40"/>
    <mergeCell ref="T40:U40"/>
    <mergeCell ref="V40:W40"/>
    <mergeCell ref="X40:Y40"/>
    <mergeCell ref="R54:S54"/>
    <mergeCell ref="T54:U54"/>
    <mergeCell ref="V54:W54"/>
    <mergeCell ref="X54:Y54"/>
    <mergeCell ref="AB14:AC14"/>
    <mergeCell ref="AD14:AE14"/>
    <mergeCell ref="AF14:AG14"/>
    <mergeCell ref="AH14:AI14"/>
    <mergeCell ref="AB43:AC43"/>
    <mergeCell ref="AD43:AE43"/>
    <mergeCell ref="AF43:AG43"/>
    <mergeCell ref="AH43:AI43"/>
    <mergeCell ref="AB55:AC55"/>
    <mergeCell ref="AD55:AE55"/>
    <mergeCell ref="AF55:AG55"/>
    <mergeCell ref="AH55:AI55"/>
    <mergeCell ref="BF55:BG55"/>
    <mergeCell ref="AN56:AO56"/>
    <mergeCell ref="AP56:AQ56"/>
    <mergeCell ref="AR56:AS56"/>
    <mergeCell ref="AV56:AW56"/>
    <mergeCell ref="AX56:AY56"/>
    <mergeCell ref="AZ56:BA56"/>
    <mergeCell ref="BB56:BC56"/>
    <mergeCell ref="BF56:BG56"/>
    <mergeCell ref="BH55:BI55"/>
    <mergeCell ref="BJ55:BK55"/>
    <mergeCell ref="BL55:BM55"/>
    <mergeCell ref="AN54:AO54"/>
    <mergeCell ref="AP54:AQ54"/>
    <mergeCell ref="AR54:AS54"/>
    <mergeCell ref="AV55:AW55"/>
    <mergeCell ref="AX55:AY55"/>
    <mergeCell ref="AZ55:BA55"/>
    <mergeCell ref="BB55:BC55"/>
    <mergeCell ref="BF54:BG54"/>
    <mergeCell ref="BH54:BI54"/>
    <mergeCell ref="BJ54:BK54"/>
    <mergeCell ref="BL54:BM54"/>
    <mergeCell ref="H13:I13"/>
    <mergeCell ref="J13:K13"/>
    <mergeCell ref="L13:M13"/>
    <mergeCell ref="N13:O13"/>
    <mergeCell ref="AB13:AC13"/>
    <mergeCell ref="AD13:AE13"/>
    <mergeCell ref="AF13:AG13"/>
    <mergeCell ref="AH13:AI13"/>
    <mergeCell ref="AL13:AM13"/>
    <mergeCell ref="BJ13:BK13"/>
    <mergeCell ref="BL13:BM13"/>
    <mergeCell ref="R13:S13"/>
    <mergeCell ref="T13:U13"/>
    <mergeCell ref="V13:W13"/>
    <mergeCell ref="X13:Y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</mergeCells>
  <phoneticPr fontId="26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22C4A-C03F-411A-AE9C-FD05237098DD}">
  <dimension ref="E9:BM123"/>
  <sheetViews>
    <sheetView showGridLines="0" topLeftCell="D1" zoomScale="115" zoomScaleNormal="115" workbookViewId="0">
      <selection activeCell="H150" sqref="H150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9" spans="7:65" hidden="1" x14ac:dyDescent="0.2"/>
    <row r="10" spans="7:65" ht="19.5" hidden="1" x14ac:dyDescent="0.35">
      <c r="K10" s="97">
        <v>12</v>
      </c>
      <c r="U10" s="97">
        <v>12</v>
      </c>
      <c r="AE10" s="97">
        <v>15</v>
      </c>
      <c r="AO10" s="97">
        <v>15</v>
      </c>
      <c r="AY10" s="97">
        <v>20</v>
      </c>
      <c r="BI10" s="97">
        <v>20</v>
      </c>
    </row>
    <row r="11" spans="7:65" hidden="1" x14ac:dyDescent="0.2">
      <c r="K11" s="98" t="s">
        <v>78</v>
      </c>
      <c r="U11" s="98" t="s">
        <v>83</v>
      </c>
      <c r="AE11" s="98" t="s">
        <v>84</v>
      </c>
      <c r="AO11" s="98" t="s">
        <v>79</v>
      </c>
      <c r="AY11" s="98" t="s">
        <v>84</v>
      </c>
      <c r="BI11" s="98" t="s">
        <v>79</v>
      </c>
    </row>
    <row r="12" spans="7:65" hidden="1" x14ac:dyDescent="0.2">
      <c r="H12">
        <v>137</v>
      </c>
      <c r="K12" s="98"/>
      <c r="R12">
        <v>937</v>
      </c>
      <c r="U12" s="98"/>
      <c r="AB12">
        <v>158</v>
      </c>
      <c r="AD12">
        <v>179</v>
      </c>
      <c r="AF12">
        <v>189</v>
      </c>
      <c r="AH12">
        <v>189</v>
      </c>
      <c r="AL12" t="s">
        <v>69</v>
      </c>
      <c r="AN12">
        <v>179</v>
      </c>
      <c r="AP12">
        <v>189</v>
      </c>
      <c r="AR12">
        <v>189</v>
      </c>
      <c r="AV12">
        <v>189</v>
      </c>
      <c r="AX12">
        <v>189</v>
      </c>
      <c r="AZ12">
        <v>189</v>
      </c>
      <c r="BB12">
        <v>189</v>
      </c>
      <c r="BF12">
        <v>189</v>
      </c>
      <c r="BH12">
        <v>189</v>
      </c>
      <c r="BJ12">
        <v>189</v>
      </c>
      <c r="BL12">
        <v>189</v>
      </c>
    </row>
    <row r="13" spans="7:65" hidden="1" x14ac:dyDescent="0.2">
      <c r="H13" s="235" t="s">
        <v>111</v>
      </c>
      <c r="I13" s="235"/>
      <c r="J13" s="235" t="s">
        <v>112</v>
      </c>
      <c r="K13" s="235"/>
      <c r="L13" s="235" t="s">
        <v>113</v>
      </c>
      <c r="M13" s="235"/>
      <c r="N13" s="235" t="s">
        <v>114</v>
      </c>
      <c r="O13" s="235"/>
      <c r="R13" s="235" t="s">
        <v>111</v>
      </c>
      <c r="S13" s="235"/>
      <c r="T13" s="235" t="s">
        <v>112</v>
      </c>
      <c r="U13" s="235"/>
      <c r="V13" s="235" t="s">
        <v>113</v>
      </c>
      <c r="W13" s="235"/>
      <c r="X13" s="235" t="s">
        <v>114</v>
      </c>
      <c r="Y13" s="235"/>
      <c r="AB13" s="235" t="s">
        <v>115</v>
      </c>
      <c r="AC13" s="235"/>
      <c r="AD13" s="235" t="s">
        <v>116</v>
      </c>
      <c r="AE13" s="235"/>
      <c r="AF13" s="235" t="s">
        <v>117</v>
      </c>
      <c r="AG13" s="235"/>
      <c r="AH13" s="235" t="s">
        <v>118</v>
      </c>
      <c r="AI13" s="235"/>
      <c r="AL13" s="235" t="s">
        <v>115</v>
      </c>
      <c r="AM13" s="235"/>
      <c r="AN13" s="235" t="s">
        <v>116</v>
      </c>
      <c r="AO13" s="235"/>
      <c r="AP13" s="235" t="s">
        <v>117</v>
      </c>
      <c r="AQ13" s="235"/>
      <c r="AR13" s="235" t="s">
        <v>118</v>
      </c>
      <c r="AS13" s="235"/>
      <c r="AV13" s="235" t="s">
        <v>119</v>
      </c>
      <c r="AW13" s="235"/>
      <c r="AX13" s="235" t="s">
        <v>120</v>
      </c>
      <c r="AY13" s="235"/>
      <c r="AZ13" s="235" t="s">
        <v>121</v>
      </c>
      <c r="BA13" s="235"/>
      <c r="BB13" s="235" t="s">
        <v>122</v>
      </c>
      <c r="BC13" s="235"/>
      <c r="BF13" s="235" t="s">
        <v>119</v>
      </c>
      <c r="BG13" s="235"/>
      <c r="BH13" s="235" t="s">
        <v>120</v>
      </c>
      <c r="BI13" s="235"/>
      <c r="BJ13" s="235" t="s">
        <v>121</v>
      </c>
      <c r="BK13" s="235"/>
      <c r="BL13" s="235" t="s">
        <v>122</v>
      </c>
      <c r="BM13" s="235"/>
    </row>
    <row r="14" spans="7:65" hidden="1" x14ac:dyDescent="0.2">
      <c r="H14" s="235">
        <v>5</v>
      </c>
      <c r="I14" s="235"/>
      <c r="J14" s="235">
        <v>6</v>
      </c>
      <c r="K14" s="235"/>
      <c r="L14" s="235">
        <v>7</v>
      </c>
      <c r="M14" s="235"/>
      <c r="N14" s="235">
        <v>8</v>
      </c>
      <c r="O14" s="235"/>
      <c r="R14" s="235">
        <v>5</v>
      </c>
      <c r="S14" s="235"/>
      <c r="T14" s="235">
        <v>6</v>
      </c>
      <c r="U14" s="235"/>
      <c r="V14" s="235">
        <v>7</v>
      </c>
      <c r="W14" s="235"/>
      <c r="X14" s="235">
        <v>8</v>
      </c>
      <c r="Y14" s="235"/>
      <c r="AB14" s="235">
        <v>5</v>
      </c>
      <c r="AC14" s="235"/>
      <c r="AD14" s="235">
        <v>6</v>
      </c>
      <c r="AE14" s="235"/>
      <c r="AF14" s="235">
        <v>7</v>
      </c>
      <c r="AG14" s="235"/>
      <c r="AH14" s="235">
        <v>8</v>
      </c>
      <c r="AI14" s="235"/>
      <c r="AL14" s="235">
        <v>5</v>
      </c>
      <c r="AM14" s="235"/>
      <c r="AN14" s="235">
        <v>6</v>
      </c>
      <c r="AO14" s="235"/>
      <c r="AP14" s="235">
        <v>7</v>
      </c>
      <c r="AQ14" s="235"/>
      <c r="AR14" s="235">
        <v>8</v>
      </c>
      <c r="AS14" s="235"/>
      <c r="AV14" s="235">
        <v>5</v>
      </c>
      <c r="AW14" s="235"/>
      <c r="AX14" s="235">
        <v>6</v>
      </c>
      <c r="AY14" s="235"/>
      <c r="AZ14" s="235">
        <v>7</v>
      </c>
      <c r="BA14" s="235"/>
      <c r="BB14" s="235">
        <v>8</v>
      </c>
      <c r="BC14" s="235"/>
      <c r="BF14" s="235">
        <v>5</v>
      </c>
      <c r="BG14" s="235"/>
      <c r="BH14" s="235">
        <v>6</v>
      </c>
      <c r="BI14" s="235"/>
      <c r="BJ14" s="235">
        <v>7</v>
      </c>
      <c r="BK14" s="235"/>
      <c r="BL14" s="235">
        <v>8</v>
      </c>
      <c r="BM14" s="235"/>
    </row>
    <row r="15" spans="7:6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  <c r="AV15" s="99" t="s">
        <v>24</v>
      </c>
      <c r="AW15" s="99" t="s">
        <v>25</v>
      </c>
      <c r="AX15" s="99" t="s">
        <v>24</v>
      </c>
      <c r="AY15" s="99" t="s">
        <v>25</v>
      </c>
      <c r="AZ15" s="99" t="s">
        <v>24</v>
      </c>
      <c r="BA15" s="99" t="s">
        <v>25</v>
      </c>
      <c r="BB15" s="99" t="s">
        <v>24</v>
      </c>
      <c r="BC15" s="99" t="s">
        <v>25</v>
      </c>
      <c r="BF15" s="99" t="s">
        <v>24</v>
      </c>
      <c r="BG15" s="99" t="s">
        <v>25</v>
      </c>
      <c r="BH15" s="99" t="s">
        <v>24</v>
      </c>
      <c r="BI15" s="99" t="s">
        <v>25</v>
      </c>
      <c r="BJ15" s="99" t="s">
        <v>24</v>
      </c>
      <c r="BK15" s="99" t="s">
        <v>25</v>
      </c>
      <c r="BL15" s="99" t="s">
        <v>24</v>
      </c>
      <c r="BM15" s="99" t="s">
        <v>25</v>
      </c>
    </row>
    <row r="16" spans="7:65" hidden="1" x14ac:dyDescent="0.2">
      <c r="G16" t="s">
        <v>161</v>
      </c>
      <c r="H16">
        <v>6.2</v>
      </c>
      <c r="I16">
        <v>6.6</v>
      </c>
      <c r="J16">
        <v>6.35</v>
      </c>
      <c r="K16">
        <v>6.85</v>
      </c>
      <c r="L16">
        <v>6.5</v>
      </c>
      <c r="M16">
        <v>7</v>
      </c>
      <c r="N16">
        <v>6.65</v>
      </c>
      <c r="O16">
        <v>7.2</v>
      </c>
      <c r="Q16" t="s">
        <v>161</v>
      </c>
      <c r="R16">
        <v>5.4</v>
      </c>
      <c r="S16">
        <v>5.4</v>
      </c>
      <c r="T16">
        <v>5.2</v>
      </c>
      <c r="U16">
        <v>5.2</v>
      </c>
      <c r="V16">
        <v>5</v>
      </c>
      <c r="W16">
        <v>5</v>
      </c>
      <c r="X16">
        <v>4.9000000000000004</v>
      </c>
      <c r="Y16">
        <v>4.9000000000000004</v>
      </c>
      <c r="AA16" t="s">
        <v>161</v>
      </c>
      <c r="AB16">
        <v>7.05</v>
      </c>
      <c r="AC16">
        <v>7.6</v>
      </c>
      <c r="AD16">
        <v>7.45</v>
      </c>
      <c r="AE16">
        <v>8</v>
      </c>
      <c r="AF16">
        <v>7.55</v>
      </c>
      <c r="AG16">
        <v>8.15</v>
      </c>
      <c r="AH16">
        <v>7.65</v>
      </c>
      <c r="AI16">
        <v>8.3000000000000007</v>
      </c>
      <c r="AK16" t="s">
        <v>161</v>
      </c>
      <c r="AL16">
        <v>5.2</v>
      </c>
      <c r="AM16">
        <v>5.2</v>
      </c>
      <c r="AN16">
        <v>6.3</v>
      </c>
      <c r="AO16">
        <v>6.35</v>
      </c>
      <c r="AP16">
        <v>6.2</v>
      </c>
      <c r="AQ16">
        <v>6.2</v>
      </c>
      <c r="AR16">
        <v>6</v>
      </c>
      <c r="AS16">
        <v>6</v>
      </c>
      <c r="AU16" t="s">
        <v>161</v>
      </c>
      <c r="AV16">
        <v>8.25</v>
      </c>
      <c r="AW16">
        <v>8.9</v>
      </c>
      <c r="AX16">
        <v>8.35</v>
      </c>
      <c r="AY16">
        <v>9</v>
      </c>
      <c r="AZ16">
        <v>8.5</v>
      </c>
      <c r="BA16">
        <v>9</v>
      </c>
      <c r="BB16">
        <v>8.6</v>
      </c>
      <c r="BC16">
        <v>9</v>
      </c>
      <c r="BE16" t="s">
        <v>161</v>
      </c>
      <c r="BF16">
        <v>6.05</v>
      </c>
      <c r="BG16">
        <v>6.05</v>
      </c>
      <c r="BH16">
        <v>5.9</v>
      </c>
      <c r="BI16">
        <v>5.9</v>
      </c>
      <c r="BJ16">
        <v>5.75</v>
      </c>
      <c r="BK16">
        <v>5.75</v>
      </c>
      <c r="BL16">
        <v>5.6</v>
      </c>
      <c r="BM16">
        <v>5.6</v>
      </c>
    </row>
    <row r="17" spans="7:6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5.4</v>
      </c>
      <c r="S17">
        <v>5.4</v>
      </c>
      <c r="T17">
        <v>5.2</v>
      </c>
      <c r="U17">
        <v>5.2</v>
      </c>
      <c r="V17">
        <v>5</v>
      </c>
      <c r="W17">
        <v>5</v>
      </c>
      <c r="X17">
        <v>4.9000000000000004</v>
      </c>
      <c r="Y17">
        <v>4.9000000000000004</v>
      </c>
      <c r="AA17" t="s">
        <v>34</v>
      </c>
      <c r="AB17">
        <v>6.65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L17">
        <v>5.2</v>
      </c>
      <c r="AM17">
        <v>5.2</v>
      </c>
      <c r="AN17">
        <v>6.3</v>
      </c>
      <c r="AO17">
        <v>6.35</v>
      </c>
      <c r="AP17">
        <v>6.2</v>
      </c>
      <c r="AQ17">
        <v>6.2</v>
      </c>
      <c r="AR17">
        <v>6</v>
      </c>
      <c r="AS17">
        <v>6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  <c r="BF17">
        <v>6.05</v>
      </c>
      <c r="BG17">
        <v>6.05</v>
      </c>
      <c r="BH17">
        <v>5.9</v>
      </c>
      <c r="BI17">
        <v>5.9</v>
      </c>
      <c r="BJ17">
        <v>5.75</v>
      </c>
      <c r="BK17">
        <v>5.75</v>
      </c>
      <c r="BL17">
        <v>5.6</v>
      </c>
      <c r="BM17">
        <v>5.6</v>
      </c>
    </row>
    <row r="18" spans="7:65" hidden="1" x14ac:dyDescent="0.2">
      <c r="G18" t="s">
        <v>35</v>
      </c>
      <c r="H18">
        <v>5.5</v>
      </c>
      <c r="I18">
        <v>5.95</v>
      </c>
      <c r="J18">
        <v>5.65</v>
      </c>
      <c r="K18">
        <v>6.15</v>
      </c>
      <c r="L18">
        <v>5.85</v>
      </c>
      <c r="M18">
        <v>6.35</v>
      </c>
      <c r="N18">
        <v>6.05</v>
      </c>
      <c r="O18">
        <v>6.55</v>
      </c>
      <c r="Q18" t="s">
        <v>35</v>
      </c>
      <c r="R18">
        <v>5.2</v>
      </c>
      <c r="S18">
        <v>5.35</v>
      </c>
      <c r="T18">
        <v>5.15</v>
      </c>
      <c r="U18">
        <v>5.15</v>
      </c>
      <c r="V18">
        <v>5</v>
      </c>
      <c r="W18">
        <v>5</v>
      </c>
      <c r="X18">
        <v>4.8499999999999996</v>
      </c>
      <c r="Y18">
        <v>4.8499999999999996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L18">
        <v>5.2</v>
      </c>
      <c r="AM18">
        <v>5.2</v>
      </c>
      <c r="AN18">
        <v>6.11</v>
      </c>
      <c r="AO18">
        <v>6.35</v>
      </c>
      <c r="AP18">
        <v>6.15</v>
      </c>
      <c r="AQ18">
        <v>6.2</v>
      </c>
      <c r="AR18">
        <v>6</v>
      </c>
      <c r="AS18">
        <v>6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  <c r="BF18">
        <v>6.05</v>
      </c>
      <c r="BG18">
        <v>6.05</v>
      </c>
      <c r="BH18">
        <v>5.9</v>
      </c>
      <c r="BI18">
        <v>5.9</v>
      </c>
      <c r="BJ18">
        <v>5.75</v>
      </c>
      <c r="BK18">
        <v>5.75</v>
      </c>
      <c r="BL18">
        <v>5.6</v>
      </c>
      <c r="BM18">
        <v>5.6</v>
      </c>
    </row>
    <row r="19" spans="7:6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5</v>
      </c>
      <c r="S19">
        <v>5.05</v>
      </c>
      <c r="T19">
        <v>5.05</v>
      </c>
      <c r="U19">
        <v>5.05</v>
      </c>
      <c r="V19">
        <v>4.9000000000000004</v>
      </c>
      <c r="W19">
        <v>4.9000000000000004</v>
      </c>
      <c r="X19">
        <v>4.8499999999999996</v>
      </c>
      <c r="Y19">
        <v>4.8499999999999996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L19">
        <v>5.2</v>
      </c>
      <c r="AM19">
        <v>5.2</v>
      </c>
      <c r="AN19">
        <v>5.9</v>
      </c>
      <c r="AO19">
        <v>6.25</v>
      </c>
      <c r="AP19">
        <v>5.95</v>
      </c>
      <c r="AQ19">
        <v>6.2</v>
      </c>
      <c r="AR19">
        <v>5.9</v>
      </c>
      <c r="AS19">
        <v>6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  <c r="BF19">
        <v>6.05</v>
      </c>
      <c r="BG19">
        <v>6.05</v>
      </c>
      <c r="BH19">
        <v>5.9</v>
      </c>
      <c r="BI19">
        <v>5.9</v>
      </c>
      <c r="BJ19">
        <v>5.75</v>
      </c>
      <c r="BK19">
        <v>5.75</v>
      </c>
      <c r="BL19">
        <v>5.6</v>
      </c>
      <c r="BM19">
        <v>5.6</v>
      </c>
    </row>
    <row r="20" spans="7:65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R20">
        <v>4.5999999999999996</v>
      </c>
      <c r="S20">
        <v>4.5999999999999996</v>
      </c>
      <c r="T20">
        <v>4.8</v>
      </c>
      <c r="U20">
        <v>4.95</v>
      </c>
      <c r="V20">
        <v>4.8</v>
      </c>
      <c r="W20">
        <v>4.9000000000000004</v>
      </c>
      <c r="X20">
        <v>4.7</v>
      </c>
      <c r="Y20">
        <v>4.75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L20">
        <v>5.2</v>
      </c>
      <c r="AM20">
        <v>5.2</v>
      </c>
      <c r="AN20">
        <v>5.75</v>
      </c>
      <c r="AO20">
        <v>6.05</v>
      </c>
      <c r="AP20">
        <v>5.8</v>
      </c>
      <c r="AQ20">
        <v>6.1</v>
      </c>
      <c r="AR20">
        <v>5.7</v>
      </c>
      <c r="AS20">
        <v>6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  <c r="BF20">
        <v>6.05</v>
      </c>
      <c r="BG20">
        <v>6.05</v>
      </c>
      <c r="BH20">
        <v>5.8</v>
      </c>
      <c r="BI20">
        <v>5.9</v>
      </c>
      <c r="BJ20">
        <v>5.7</v>
      </c>
      <c r="BK20">
        <v>5.75</v>
      </c>
      <c r="BL20">
        <v>5.6</v>
      </c>
      <c r="BM20">
        <v>5.6</v>
      </c>
    </row>
    <row r="21" spans="7:65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R21">
        <v>4.0999999999999996</v>
      </c>
      <c r="S21">
        <v>4.0999999999999996</v>
      </c>
      <c r="T21">
        <v>4.4000000000000004</v>
      </c>
      <c r="U21">
        <v>4.45</v>
      </c>
      <c r="V21">
        <v>4.7</v>
      </c>
      <c r="W21">
        <v>4.7</v>
      </c>
      <c r="X21">
        <v>4.9000000000000004</v>
      </c>
      <c r="Y21">
        <v>4.9000000000000004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L21">
        <v>4.8499999999999996</v>
      </c>
      <c r="AM21">
        <v>4.8499999999999996</v>
      </c>
      <c r="AN21">
        <v>5.55</v>
      </c>
      <c r="AO21">
        <v>5.75</v>
      </c>
      <c r="AP21">
        <v>5.55</v>
      </c>
      <c r="AQ21">
        <v>5.8</v>
      </c>
      <c r="AR21">
        <v>5.5</v>
      </c>
      <c r="AS21">
        <v>5.8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  <c r="BF21">
        <v>5.75</v>
      </c>
      <c r="BG21">
        <v>5.9</v>
      </c>
      <c r="BH21">
        <v>5.65</v>
      </c>
      <c r="BI21">
        <v>5.9</v>
      </c>
      <c r="BJ21">
        <v>5.6</v>
      </c>
      <c r="BK21">
        <v>5.75</v>
      </c>
      <c r="BL21">
        <v>5.5</v>
      </c>
      <c r="BM21">
        <v>5.6</v>
      </c>
    </row>
    <row r="22" spans="7:65" hidden="1" x14ac:dyDescent="0.2">
      <c r="G22" t="s">
        <v>38</v>
      </c>
      <c r="H22">
        <v>4.1500000000000004</v>
      </c>
      <c r="I22">
        <v>4.1500000000000004</v>
      </c>
      <c r="J22">
        <v>4.3499999999999996</v>
      </c>
      <c r="K22">
        <v>4.3499999999999996</v>
      </c>
      <c r="L22">
        <v>4.55</v>
      </c>
      <c r="M22">
        <v>4.55</v>
      </c>
      <c r="N22">
        <v>4.75</v>
      </c>
      <c r="O22">
        <v>4.75</v>
      </c>
      <c r="Q22" t="s">
        <v>38</v>
      </c>
      <c r="R22">
        <v>3.65</v>
      </c>
      <c r="S22">
        <v>3.65</v>
      </c>
      <c r="T22">
        <v>3.9</v>
      </c>
      <c r="U22">
        <v>3.9</v>
      </c>
      <c r="V22">
        <v>4.0999999999999996</v>
      </c>
      <c r="W22">
        <v>4.0999999999999996</v>
      </c>
      <c r="X22">
        <v>4.3</v>
      </c>
      <c r="Y22">
        <v>4.3</v>
      </c>
      <c r="AA22" t="s">
        <v>38</v>
      </c>
      <c r="AB22">
        <v>5.25</v>
      </c>
      <c r="AC22">
        <v>5.75</v>
      </c>
      <c r="AD22">
        <v>5.6</v>
      </c>
      <c r="AE22">
        <v>6.05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L22">
        <v>4.55</v>
      </c>
      <c r="AM22">
        <v>4.55</v>
      </c>
      <c r="AN22">
        <v>5.3</v>
      </c>
      <c r="AO22">
        <v>5.6</v>
      </c>
      <c r="AP22">
        <v>5.35</v>
      </c>
      <c r="AQ22">
        <v>5.65</v>
      </c>
      <c r="AR22">
        <v>5.3</v>
      </c>
      <c r="AS22">
        <v>5.6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  <c r="BF22">
        <v>5.5</v>
      </c>
      <c r="BG22">
        <v>5.8</v>
      </c>
      <c r="BH22">
        <v>5.45</v>
      </c>
      <c r="BI22">
        <v>5.75</v>
      </c>
      <c r="BJ22">
        <v>5.4</v>
      </c>
      <c r="BK22">
        <v>5.65</v>
      </c>
      <c r="BL22">
        <v>5.3</v>
      </c>
      <c r="BM22">
        <v>5.6</v>
      </c>
    </row>
    <row r="23" spans="7:65" hidden="1" x14ac:dyDescent="0.2">
      <c r="G23" t="s">
        <v>39</v>
      </c>
      <c r="H23">
        <v>3.65</v>
      </c>
      <c r="I23">
        <v>3.65</v>
      </c>
      <c r="J23">
        <v>3.85</v>
      </c>
      <c r="K23">
        <v>3.85</v>
      </c>
      <c r="L23">
        <v>4.05</v>
      </c>
      <c r="M23">
        <v>4.05</v>
      </c>
      <c r="N23">
        <v>4.25</v>
      </c>
      <c r="O23">
        <v>4.25</v>
      </c>
      <c r="Q23" t="s">
        <v>39</v>
      </c>
      <c r="R23">
        <v>3.2</v>
      </c>
      <c r="S23">
        <v>3.2</v>
      </c>
      <c r="T23">
        <v>3.4</v>
      </c>
      <c r="U23">
        <v>3.4</v>
      </c>
      <c r="V23">
        <v>3.6</v>
      </c>
      <c r="W23">
        <v>3.6</v>
      </c>
      <c r="X23">
        <v>3.8</v>
      </c>
      <c r="Y23">
        <v>3.8</v>
      </c>
      <c r="AA23" t="s">
        <v>39</v>
      </c>
      <c r="AB23">
        <v>4.95</v>
      </c>
      <c r="AC23">
        <v>5.35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L23">
        <v>4.05</v>
      </c>
      <c r="AM23">
        <v>4.05</v>
      </c>
      <c r="AN23">
        <v>5</v>
      </c>
      <c r="AO23">
        <v>5.3</v>
      </c>
      <c r="AP23">
        <v>5.0999999999999996</v>
      </c>
      <c r="AQ23">
        <v>5.35</v>
      </c>
      <c r="AR23">
        <v>5.05</v>
      </c>
      <c r="AS23">
        <v>5.35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  <c r="BF23">
        <v>5.3</v>
      </c>
      <c r="BG23">
        <v>5.8</v>
      </c>
      <c r="BH23">
        <v>5.25</v>
      </c>
      <c r="BI23">
        <v>5.5</v>
      </c>
      <c r="BJ23">
        <v>5.2</v>
      </c>
      <c r="BK23">
        <v>5.5</v>
      </c>
      <c r="BL23">
        <v>5.15</v>
      </c>
      <c r="BM23">
        <v>5.4</v>
      </c>
    </row>
    <row r="24" spans="7:65" hidden="1" x14ac:dyDescent="0.2">
      <c r="G24" t="s">
        <v>162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162</v>
      </c>
      <c r="R24">
        <v>5.2</v>
      </c>
      <c r="S24">
        <v>5.4</v>
      </c>
      <c r="T24">
        <v>5.15</v>
      </c>
      <c r="U24">
        <v>5.2</v>
      </c>
      <c r="V24">
        <v>5.05</v>
      </c>
      <c r="W24">
        <v>5.05</v>
      </c>
      <c r="X24">
        <v>4.9000000000000004</v>
      </c>
      <c r="Y24">
        <v>4.9000000000000004</v>
      </c>
      <c r="AA24" t="s">
        <v>162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</v>
      </c>
      <c r="AI24">
        <v>7.6</v>
      </c>
      <c r="AK24" t="s">
        <v>162</v>
      </c>
      <c r="AL24">
        <v>5.2</v>
      </c>
      <c r="AM24">
        <v>5.2</v>
      </c>
      <c r="AN24">
        <v>5.9</v>
      </c>
      <c r="AO24">
        <v>6.25</v>
      </c>
      <c r="AP24">
        <v>6.2</v>
      </c>
      <c r="AQ24">
        <v>6.2</v>
      </c>
      <c r="AR24">
        <v>5.9</v>
      </c>
      <c r="AS24">
        <v>6</v>
      </c>
      <c r="AU24" t="s">
        <v>162</v>
      </c>
      <c r="AV24">
        <v>7.7</v>
      </c>
      <c r="AW24">
        <v>8.15</v>
      </c>
      <c r="AX24">
        <v>7.85</v>
      </c>
      <c r="AY24">
        <v>8.3000000000000007</v>
      </c>
      <c r="AZ24">
        <v>8</v>
      </c>
      <c r="BA24">
        <v>8.4499999999999993</v>
      </c>
      <c r="BB24">
        <v>8.1</v>
      </c>
      <c r="BC24">
        <v>8.65</v>
      </c>
      <c r="BE24" t="s">
        <v>162</v>
      </c>
      <c r="BF24">
        <v>6.05</v>
      </c>
      <c r="BG24">
        <v>6.05</v>
      </c>
      <c r="BH24">
        <v>5.9</v>
      </c>
      <c r="BI24">
        <v>5.9</v>
      </c>
      <c r="BJ24">
        <v>5.75</v>
      </c>
      <c r="BK24">
        <v>5.75</v>
      </c>
      <c r="BL24">
        <v>5.6</v>
      </c>
      <c r="BM24">
        <v>5.6</v>
      </c>
    </row>
    <row r="25" spans="7:65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R25">
        <v>4.9000000000000004</v>
      </c>
      <c r="S25">
        <v>4.9000000000000004</v>
      </c>
      <c r="T25">
        <v>5</v>
      </c>
      <c r="U25">
        <v>5.15</v>
      </c>
      <c r="V25">
        <v>4.9000000000000004</v>
      </c>
      <c r="W25">
        <v>5</v>
      </c>
      <c r="X25">
        <v>4.8</v>
      </c>
      <c r="Y25">
        <v>4.8499999999999996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L25">
        <v>5.2</v>
      </c>
      <c r="AM25">
        <v>5.2</v>
      </c>
      <c r="AN25">
        <v>5.9</v>
      </c>
      <c r="AO25">
        <v>6.25</v>
      </c>
      <c r="AP25">
        <v>6.2</v>
      </c>
      <c r="AQ25">
        <v>6.2</v>
      </c>
      <c r="AR25">
        <v>5.9</v>
      </c>
      <c r="AS25">
        <v>6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  <c r="BF25">
        <v>6.05</v>
      </c>
      <c r="BG25">
        <v>6.05</v>
      </c>
      <c r="BH25">
        <v>5.9</v>
      </c>
      <c r="BI25">
        <v>5.9</v>
      </c>
      <c r="BJ25">
        <v>5.75</v>
      </c>
      <c r="BK25">
        <v>5.75</v>
      </c>
      <c r="BL25">
        <v>5.6</v>
      </c>
      <c r="BM25">
        <v>5.6</v>
      </c>
    </row>
    <row r="26" spans="7:65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R26">
        <v>4.5</v>
      </c>
      <c r="S26">
        <v>4.5</v>
      </c>
      <c r="T26">
        <v>4.75</v>
      </c>
      <c r="U26">
        <v>4.75</v>
      </c>
      <c r="V26">
        <v>4.8</v>
      </c>
      <c r="W26">
        <v>4.05</v>
      </c>
      <c r="X26">
        <v>4.7</v>
      </c>
      <c r="Y26">
        <v>4.9000000000000004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L26">
        <v>5.2</v>
      </c>
      <c r="AM26">
        <v>5.2</v>
      </c>
      <c r="AN26">
        <v>5.75</v>
      </c>
      <c r="AO26">
        <v>6.05</v>
      </c>
      <c r="AP26">
        <v>5.8</v>
      </c>
      <c r="AQ26">
        <v>6.1</v>
      </c>
      <c r="AR26">
        <v>5.75</v>
      </c>
      <c r="AS26">
        <v>6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  <c r="BF26">
        <v>6.05</v>
      </c>
      <c r="BG26">
        <v>6.05</v>
      </c>
      <c r="BH26">
        <v>5.9</v>
      </c>
      <c r="BI26">
        <v>5.9</v>
      </c>
      <c r="BJ26">
        <v>5.75</v>
      </c>
      <c r="BK26">
        <v>5.75</v>
      </c>
      <c r="BL26">
        <v>5.6</v>
      </c>
      <c r="BM26">
        <v>5.6</v>
      </c>
    </row>
    <row r="27" spans="7:65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R27">
        <v>4.2</v>
      </c>
      <c r="S27">
        <v>4.2</v>
      </c>
      <c r="T27">
        <v>4.4000000000000004</v>
      </c>
      <c r="U27">
        <v>4.4000000000000004</v>
      </c>
      <c r="V27">
        <v>4.5</v>
      </c>
      <c r="W27">
        <v>4.5999999999999996</v>
      </c>
      <c r="X27">
        <v>4.55</v>
      </c>
      <c r="Y27">
        <v>4.8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L27">
        <v>4.95</v>
      </c>
      <c r="AM27">
        <v>5.15</v>
      </c>
      <c r="AN27">
        <v>5.6</v>
      </c>
      <c r="AO27">
        <v>5.9</v>
      </c>
      <c r="AP27">
        <v>5.65</v>
      </c>
      <c r="AQ27">
        <v>5.95</v>
      </c>
      <c r="AR27">
        <v>5.6</v>
      </c>
      <c r="AS27">
        <v>5.9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  <c r="BF27">
        <v>6.05</v>
      </c>
      <c r="BG27">
        <v>6.05</v>
      </c>
      <c r="BH27">
        <v>5.75</v>
      </c>
      <c r="BI27">
        <v>5.9</v>
      </c>
      <c r="BJ27">
        <v>5.75</v>
      </c>
      <c r="BK27">
        <v>5.75</v>
      </c>
      <c r="BL27">
        <v>5.6</v>
      </c>
      <c r="BM27">
        <v>5.6</v>
      </c>
    </row>
    <row r="28" spans="7:65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R28">
        <v>3.85</v>
      </c>
      <c r="S28">
        <v>3.85</v>
      </c>
      <c r="T28">
        <v>4.05</v>
      </c>
      <c r="U28">
        <v>4.05</v>
      </c>
      <c r="V28">
        <v>4.3</v>
      </c>
      <c r="W28">
        <v>4.3</v>
      </c>
      <c r="X28">
        <v>4.5</v>
      </c>
      <c r="Y28">
        <v>4.5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L28">
        <v>4.8</v>
      </c>
      <c r="AM28">
        <v>4.8</v>
      </c>
      <c r="AN28">
        <v>5.45</v>
      </c>
      <c r="AO28">
        <v>5.75</v>
      </c>
      <c r="AP28">
        <v>5.5</v>
      </c>
      <c r="AQ28">
        <v>5.8</v>
      </c>
      <c r="AR28">
        <v>5.5</v>
      </c>
      <c r="AS28">
        <v>5.8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  <c r="BF28">
        <v>5.7</v>
      </c>
      <c r="BG28">
        <v>6.05</v>
      </c>
      <c r="BH28">
        <v>5.65</v>
      </c>
      <c r="BI28">
        <v>5.9</v>
      </c>
      <c r="BJ28">
        <v>5.6</v>
      </c>
      <c r="BK28">
        <v>5.75</v>
      </c>
      <c r="BL28">
        <v>5.5</v>
      </c>
      <c r="BM28">
        <v>5.6</v>
      </c>
    </row>
    <row r="29" spans="7:65" hidden="1" x14ac:dyDescent="0.2">
      <c r="G29" t="s">
        <v>81</v>
      </c>
      <c r="H29">
        <v>4.05</v>
      </c>
      <c r="I29">
        <v>4.05</v>
      </c>
      <c r="J29">
        <v>4.3</v>
      </c>
      <c r="K29">
        <v>4.3</v>
      </c>
      <c r="L29">
        <v>4.5</v>
      </c>
      <c r="M29">
        <v>4.5</v>
      </c>
      <c r="N29">
        <v>4.7</v>
      </c>
      <c r="O29">
        <v>4.7</v>
      </c>
      <c r="Q29" t="s">
        <v>81</v>
      </c>
      <c r="R29">
        <v>3.5</v>
      </c>
      <c r="S29">
        <v>3.5</v>
      </c>
      <c r="T29">
        <v>3.7</v>
      </c>
      <c r="U29">
        <v>3.7</v>
      </c>
      <c r="V29">
        <v>3.9</v>
      </c>
      <c r="W29">
        <v>3.9</v>
      </c>
      <c r="X29">
        <v>4.05</v>
      </c>
      <c r="Y29">
        <v>4.05</v>
      </c>
      <c r="AA29" t="s">
        <v>81</v>
      </c>
      <c r="AB29">
        <v>5.25</v>
      </c>
      <c r="AC29">
        <v>5.5</v>
      </c>
      <c r="AD29">
        <v>5.6</v>
      </c>
      <c r="AE29">
        <f t="shared" ref="AE29:AI29" si="0">+(AE28+AE30)/2</f>
        <v>6.05</v>
      </c>
      <c r="AF29">
        <f t="shared" si="0"/>
        <v>5.75</v>
      </c>
      <c r="AG29">
        <v>6.2</v>
      </c>
      <c r="AH29">
        <f t="shared" si="0"/>
        <v>5.9</v>
      </c>
      <c r="AI29">
        <f t="shared" si="0"/>
        <v>6.4</v>
      </c>
      <c r="AK29" t="s">
        <v>81</v>
      </c>
      <c r="AL29">
        <v>4.4000000000000004</v>
      </c>
      <c r="AM29">
        <v>4.4000000000000004</v>
      </c>
      <c r="AN29">
        <v>5.3</v>
      </c>
      <c r="AO29">
        <v>5.45</v>
      </c>
      <c r="AP29">
        <v>5.25</v>
      </c>
      <c r="AQ29">
        <v>5.6</v>
      </c>
      <c r="AR29">
        <v>5.25</v>
      </c>
      <c r="AS29">
        <v>5.6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  <c r="BF29">
        <v>5.6</v>
      </c>
      <c r="BG29">
        <v>5.85</v>
      </c>
      <c r="BH29">
        <v>5.55</v>
      </c>
      <c r="BI29">
        <v>5.85</v>
      </c>
      <c r="BJ29">
        <v>5.5</v>
      </c>
      <c r="BK29">
        <v>5.75</v>
      </c>
      <c r="BL29">
        <v>5.45</v>
      </c>
      <c r="BM29">
        <v>5.6</v>
      </c>
    </row>
    <row r="30" spans="7:65" hidden="1" x14ac:dyDescent="0.2">
      <c r="G30" t="s">
        <v>44</v>
      </c>
      <c r="H30">
        <v>3.6</v>
      </c>
      <c r="I30">
        <v>3.6</v>
      </c>
      <c r="J30">
        <v>3.8</v>
      </c>
      <c r="K30">
        <v>3.8</v>
      </c>
      <c r="L30">
        <v>4</v>
      </c>
      <c r="M30">
        <v>4</v>
      </c>
      <c r="N30">
        <v>4.2</v>
      </c>
      <c r="O30">
        <v>4.2</v>
      </c>
      <c r="Q30" t="s">
        <v>44</v>
      </c>
      <c r="R30">
        <v>3.2</v>
      </c>
      <c r="S30">
        <v>3.2</v>
      </c>
      <c r="T30">
        <v>3.4</v>
      </c>
      <c r="U30">
        <v>3.4</v>
      </c>
      <c r="V30">
        <v>3.65</v>
      </c>
      <c r="W30">
        <v>3.65</v>
      </c>
      <c r="X30">
        <v>3.75</v>
      </c>
      <c r="Y30">
        <v>3.75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L30">
        <v>4</v>
      </c>
      <c r="AM30">
        <v>4</v>
      </c>
      <c r="AN30">
        <v>5.0999999999999996</v>
      </c>
      <c r="AO30">
        <v>5.35</v>
      </c>
      <c r="AP30">
        <v>5.15</v>
      </c>
      <c r="AQ30">
        <v>5.45</v>
      </c>
      <c r="AR30">
        <v>5.15</v>
      </c>
      <c r="AS30">
        <v>5.45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  <c r="BF30">
        <v>5.4</v>
      </c>
      <c r="BG30">
        <v>5.7</v>
      </c>
      <c r="BH30">
        <v>5.35</v>
      </c>
      <c r="BI30">
        <v>5.65</v>
      </c>
      <c r="BJ30">
        <v>5.3</v>
      </c>
      <c r="BK30">
        <v>5.6</v>
      </c>
      <c r="BL30">
        <v>5.25</v>
      </c>
      <c r="BM30">
        <v>5.55</v>
      </c>
    </row>
    <row r="31" spans="7:65" hidden="1" x14ac:dyDescent="0.2">
      <c r="G31" t="s">
        <v>67</v>
      </c>
      <c r="H31">
        <v>3.2</v>
      </c>
      <c r="I31">
        <v>3.2</v>
      </c>
      <c r="J31">
        <v>3.4</v>
      </c>
      <c r="K31">
        <v>3.4</v>
      </c>
      <c r="L31">
        <v>3.6</v>
      </c>
      <c r="M31">
        <v>3.6</v>
      </c>
      <c r="N31">
        <v>3.8</v>
      </c>
      <c r="O31">
        <v>3.8</v>
      </c>
      <c r="Q31" t="s">
        <v>67</v>
      </c>
      <c r="R31">
        <v>2.85</v>
      </c>
      <c r="S31">
        <v>2.85</v>
      </c>
      <c r="T31">
        <v>3.05</v>
      </c>
      <c r="U31">
        <v>3.05</v>
      </c>
      <c r="V31">
        <v>3.2</v>
      </c>
      <c r="W31">
        <v>3.2</v>
      </c>
      <c r="X31">
        <v>3.4</v>
      </c>
      <c r="Y31">
        <v>3.4</v>
      </c>
      <c r="AA31" t="s">
        <v>67</v>
      </c>
      <c r="AB31">
        <v>4.75</v>
      </c>
      <c r="AC31">
        <v>4.75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L31">
        <v>3.6</v>
      </c>
      <c r="AM31">
        <v>3.6</v>
      </c>
      <c r="AN31">
        <v>4.8499999999999996</v>
      </c>
      <c r="AO31">
        <v>5.15</v>
      </c>
      <c r="AP31">
        <v>4.95</v>
      </c>
      <c r="AQ31">
        <v>5.2</v>
      </c>
      <c r="AR31">
        <v>5</v>
      </c>
      <c r="AS31">
        <v>5.25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  <c r="BF31">
        <v>5.2</v>
      </c>
      <c r="BG31">
        <v>5.5</v>
      </c>
      <c r="BH31">
        <v>5.2</v>
      </c>
      <c r="BI31">
        <v>5.45</v>
      </c>
      <c r="BJ31">
        <v>5.15</v>
      </c>
      <c r="BK31">
        <v>5.4</v>
      </c>
      <c r="BL31">
        <v>5.0999999999999996</v>
      </c>
      <c r="BM31">
        <v>5.35</v>
      </c>
    </row>
    <row r="32" spans="7:65" hidden="1" x14ac:dyDescent="0.2">
      <c r="G32" t="s">
        <v>163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163</v>
      </c>
      <c r="R32">
        <v>4.05</v>
      </c>
      <c r="S32">
        <v>4.05</v>
      </c>
      <c r="T32">
        <v>4.3</v>
      </c>
      <c r="U32">
        <v>4.3</v>
      </c>
      <c r="V32">
        <v>4.5</v>
      </c>
      <c r="W32">
        <v>4.5</v>
      </c>
      <c r="X32">
        <v>4.6500000000000004</v>
      </c>
      <c r="Y32">
        <v>4.7</v>
      </c>
      <c r="AA32" t="s">
        <v>163</v>
      </c>
      <c r="AB32">
        <v>5.9</v>
      </c>
      <c r="AC32">
        <v>6.15</v>
      </c>
      <c r="AD32">
        <v>6.3</v>
      </c>
      <c r="AE32">
        <v>6.55</v>
      </c>
      <c r="AF32">
        <v>6.45</v>
      </c>
      <c r="AG32">
        <v>6.7</v>
      </c>
      <c r="AH32">
        <v>6.6</v>
      </c>
      <c r="AI32">
        <v>6.9</v>
      </c>
      <c r="AK32" t="s">
        <v>163</v>
      </c>
      <c r="AL32">
        <v>4.95</v>
      </c>
      <c r="AM32">
        <v>5.05</v>
      </c>
      <c r="AN32">
        <v>5.6</v>
      </c>
      <c r="AO32">
        <v>5.9</v>
      </c>
      <c r="AP32">
        <v>5.65</v>
      </c>
      <c r="AQ32">
        <v>6</v>
      </c>
      <c r="AR32">
        <v>5.6</v>
      </c>
      <c r="AS32">
        <v>5.95</v>
      </c>
      <c r="AU32" t="s">
        <v>163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</v>
      </c>
      <c r="BC32">
        <v>7.85</v>
      </c>
      <c r="BE32" t="s">
        <v>163</v>
      </c>
      <c r="BF32">
        <v>6.05</v>
      </c>
      <c r="BG32">
        <v>6.05</v>
      </c>
      <c r="BH32">
        <v>5.65</v>
      </c>
      <c r="BI32">
        <v>5.9</v>
      </c>
      <c r="BJ32">
        <v>5.6</v>
      </c>
      <c r="BK32">
        <v>5.75</v>
      </c>
      <c r="BL32">
        <v>5.6</v>
      </c>
      <c r="BM32">
        <v>5.6</v>
      </c>
    </row>
    <row r="33" spans="5:65" hidden="1" x14ac:dyDescent="0.2">
      <c r="G33" t="s">
        <v>50</v>
      </c>
      <c r="H33">
        <v>4.25</v>
      </c>
      <c r="I33">
        <v>4.25</v>
      </c>
      <c r="J33">
        <v>4.45</v>
      </c>
      <c r="K33">
        <v>4.45</v>
      </c>
      <c r="L33">
        <v>4.7</v>
      </c>
      <c r="M33">
        <v>4.7</v>
      </c>
      <c r="N33">
        <v>4.9000000000000004</v>
      </c>
      <c r="O33">
        <v>4.9000000000000004</v>
      </c>
      <c r="Q33" t="s">
        <v>50</v>
      </c>
      <c r="R33">
        <v>3.8</v>
      </c>
      <c r="S33">
        <v>3.8</v>
      </c>
      <c r="T33">
        <v>4.05</v>
      </c>
      <c r="U33">
        <v>4.05</v>
      </c>
      <c r="V33">
        <v>4.3</v>
      </c>
      <c r="W33">
        <v>4.2</v>
      </c>
      <c r="X33">
        <v>4.4000000000000004</v>
      </c>
      <c r="Y33">
        <v>4.4000000000000004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L33">
        <v>4.7</v>
      </c>
      <c r="AM33">
        <v>4.7</v>
      </c>
      <c r="AN33">
        <v>5.45</v>
      </c>
      <c r="AO33">
        <v>5.75</v>
      </c>
      <c r="AP33">
        <v>5.5</v>
      </c>
      <c r="AQ33">
        <v>5.8</v>
      </c>
      <c r="AR33">
        <v>5.5</v>
      </c>
      <c r="AS33">
        <v>5.8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  <c r="BF33">
        <v>6.05</v>
      </c>
      <c r="BG33">
        <v>6.05</v>
      </c>
      <c r="BH33">
        <v>5.65</v>
      </c>
      <c r="BI33">
        <v>5.9</v>
      </c>
      <c r="BJ33">
        <v>5.6</v>
      </c>
      <c r="BK33">
        <v>5.75</v>
      </c>
      <c r="BL33">
        <v>5.6</v>
      </c>
      <c r="BM33">
        <v>5.6</v>
      </c>
    </row>
    <row r="34" spans="5:65" hidden="1" x14ac:dyDescent="0.2">
      <c r="G34" t="s">
        <v>76</v>
      </c>
      <c r="H34">
        <v>4</v>
      </c>
      <c r="I34">
        <v>4</v>
      </c>
      <c r="J34">
        <v>4.2</v>
      </c>
      <c r="K34">
        <v>4.2</v>
      </c>
      <c r="L34">
        <v>4.4000000000000004</v>
      </c>
      <c r="M34">
        <v>4.4000000000000004</v>
      </c>
      <c r="N34">
        <v>4.5999999999999996</v>
      </c>
      <c r="O34">
        <v>4.5999999999999996</v>
      </c>
      <c r="Q34" t="s">
        <v>76</v>
      </c>
      <c r="R34">
        <v>3.55</v>
      </c>
      <c r="S34">
        <v>3.55</v>
      </c>
      <c r="T34">
        <v>3.75</v>
      </c>
      <c r="U34">
        <v>3.75</v>
      </c>
      <c r="V34">
        <v>3.95</v>
      </c>
      <c r="W34">
        <v>3.95</v>
      </c>
      <c r="X34">
        <v>4.1500000000000004</v>
      </c>
      <c r="Y34">
        <v>4.1500000000000004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L34">
        <v>4.4000000000000004</v>
      </c>
      <c r="AM34">
        <v>4.4000000000000004</v>
      </c>
      <c r="AN34">
        <v>5.3</v>
      </c>
      <c r="AO34">
        <v>5.6</v>
      </c>
      <c r="AP34">
        <v>5.4</v>
      </c>
      <c r="AQ34">
        <v>5.7</v>
      </c>
      <c r="AR34">
        <v>5.4</v>
      </c>
      <c r="AS34">
        <v>5.65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  <c r="BF34">
        <v>5.6</v>
      </c>
      <c r="BG34">
        <v>5.9</v>
      </c>
      <c r="BH34">
        <v>5.55</v>
      </c>
      <c r="BI34">
        <v>5.85</v>
      </c>
      <c r="BJ34">
        <v>5.5</v>
      </c>
      <c r="BK34">
        <v>5.75</v>
      </c>
      <c r="BL34">
        <v>5.6</v>
      </c>
      <c r="BM34">
        <v>5.6</v>
      </c>
    </row>
    <row r="35" spans="5:65" hidden="1" x14ac:dyDescent="0.2">
      <c r="G35" t="s">
        <v>77</v>
      </c>
      <c r="H35">
        <v>3.75</v>
      </c>
      <c r="I35">
        <v>3.75</v>
      </c>
      <c r="J35">
        <v>3.95</v>
      </c>
      <c r="K35">
        <v>3.95</v>
      </c>
      <c r="L35">
        <v>4.1500000000000004</v>
      </c>
      <c r="M35">
        <v>4.1500000000000004</v>
      </c>
      <c r="N35">
        <v>4.3499999999999996</v>
      </c>
      <c r="O35">
        <v>4.3499999999999996</v>
      </c>
      <c r="Q35" t="s">
        <v>77</v>
      </c>
      <c r="R35">
        <v>3.3</v>
      </c>
      <c r="S35">
        <v>3.3</v>
      </c>
      <c r="T35">
        <v>3.5</v>
      </c>
      <c r="U35">
        <v>3.5</v>
      </c>
      <c r="V35">
        <v>3.6</v>
      </c>
      <c r="W35">
        <v>3.6</v>
      </c>
      <c r="X35">
        <v>3.9</v>
      </c>
      <c r="Y35">
        <v>3.9</v>
      </c>
      <c r="AA35" t="s">
        <v>77</v>
      </c>
      <c r="AB35">
        <v>5.35</v>
      </c>
      <c r="AC35">
        <v>5.45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L35">
        <v>4.1500000000000004</v>
      </c>
      <c r="AM35">
        <v>4.1500000000000004</v>
      </c>
      <c r="AN35">
        <v>5.2</v>
      </c>
      <c r="AO35">
        <v>5.45</v>
      </c>
      <c r="AP35">
        <v>5.25</v>
      </c>
      <c r="AQ35">
        <v>5.55</v>
      </c>
      <c r="AR35">
        <v>5.25</v>
      </c>
      <c r="AS35">
        <v>5.55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  <c r="BF35">
        <v>5.5</v>
      </c>
      <c r="BG35">
        <v>5.8</v>
      </c>
      <c r="BH35">
        <v>5.45</v>
      </c>
      <c r="BI35">
        <v>5.75</v>
      </c>
      <c r="BJ35">
        <v>5.4</v>
      </c>
      <c r="BK35">
        <v>5.7</v>
      </c>
      <c r="BL35">
        <v>5.35</v>
      </c>
      <c r="BM35">
        <v>5.6</v>
      </c>
    </row>
    <row r="36" spans="5:65" hidden="1" x14ac:dyDescent="0.2">
      <c r="G36" t="s">
        <v>46</v>
      </c>
      <c r="H36">
        <v>3.55</v>
      </c>
      <c r="I36">
        <v>3.55</v>
      </c>
      <c r="J36">
        <v>3.75</v>
      </c>
      <c r="K36">
        <v>3.75</v>
      </c>
      <c r="L36">
        <v>3.95</v>
      </c>
      <c r="M36">
        <v>3.95</v>
      </c>
      <c r="N36">
        <v>4.1500000000000004</v>
      </c>
      <c r="O36">
        <v>4.1500000000000004</v>
      </c>
      <c r="Q36" t="s">
        <v>46</v>
      </c>
      <c r="R36">
        <v>3.1</v>
      </c>
      <c r="S36">
        <v>3.1</v>
      </c>
      <c r="T36">
        <v>3.3</v>
      </c>
      <c r="U36">
        <v>3.3</v>
      </c>
      <c r="V36">
        <v>3.5</v>
      </c>
      <c r="W36">
        <v>3.5</v>
      </c>
      <c r="X36">
        <v>3.7</v>
      </c>
      <c r="Y36">
        <v>3.7</v>
      </c>
      <c r="AA36" t="s">
        <v>46</v>
      </c>
      <c r="AB36">
        <v>5.15</v>
      </c>
      <c r="AC36">
        <v>5.15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L36">
        <v>3.9</v>
      </c>
      <c r="AM36">
        <v>3.9</v>
      </c>
      <c r="AN36">
        <v>5.15</v>
      </c>
      <c r="AO36">
        <v>5.35</v>
      </c>
      <c r="AP36">
        <v>5.15</v>
      </c>
      <c r="AQ36">
        <v>5.45</v>
      </c>
      <c r="AR36">
        <v>5.15</v>
      </c>
      <c r="AS36">
        <v>5.45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  <c r="BF36">
        <v>5.4</v>
      </c>
      <c r="BG36">
        <v>5.7</v>
      </c>
      <c r="BH36">
        <v>5.35</v>
      </c>
      <c r="BI36">
        <v>5.65</v>
      </c>
      <c r="BJ36">
        <v>5.3</v>
      </c>
      <c r="BK36">
        <v>5.6</v>
      </c>
      <c r="BL36">
        <v>5.3</v>
      </c>
      <c r="BM36">
        <v>5.55</v>
      </c>
    </row>
    <row r="37" spans="5:65" hidden="1" x14ac:dyDescent="0.2">
      <c r="G37" t="s">
        <v>82</v>
      </c>
      <c r="H37">
        <v>3.25</v>
      </c>
      <c r="I37">
        <v>3.25</v>
      </c>
      <c r="J37">
        <v>3.45</v>
      </c>
      <c r="K37">
        <v>3.45</v>
      </c>
      <c r="L37">
        <v>3.65</v>
      </c>
      <c r="M37">
        <v>3.65</v>
      </c>
      <c r="N37">
        <v>3.85</v>
      </c>
      <c r="O37">
        <v>3.85</v>
      </c>
      <c r="Q37" t="s">
        <v>82</v>
      </c>
      <c r="R37">
        <v>2.85</v>
      </c>
      <c r="S37">
        <v>2.85</v>
      </c>
      <c r="T37">
        <v>3.05</v>
      </c>
      <c r="U37">
        <v>3.05</v>
      </c>
      <c r="V37">
        <v>3.35</v>
      </c>
      <c r="W37">
        <v>3.35</v>
      </c>
      <c r="X37">
        <v>3.4</v>
      </c>
      <c r="Y37">
        <v>3.4</v>
      </c>
      <c r="AA37" t="s">
        <v>82</v>
      </c>
      <c r="AB37">
        <f t="shared" ref="AB37" si="1">+(AB36+AB38)/2</f>
        <v>4.8000000000000007</v>
      </c>
      <c r="AC37">
        <f t="shared" ref="AC37" si="2">+(AC36+AC38)/2</f>
        <v>4.8000000000000007</v>
      </c>
      <c r="AD37">
        <f t="shared" ref="AD37" si="3">+(AD36+AD38)/2</f>
        <v>5.3</v>
      </c>
      <c r="AE37">
        <v>5.5</v>
      </c>
      <c r="AF37">
        <f t="shared" ref="AF37" si="4">+(AF36+AF38)/2</f>
        <v>5.45</v>
      </c>
      <c r="AG37">
        <f t="shared" ref="AG37" si="5">+(AG36+AG38)/2</f>
        <v>5.8</v>
      </c>
      <c r="AH37">
        <f t="shared" ref="AH37" si="6">+(AH36+AH38)/2</f>
        <v>5.6</v>
      </c>
      <c r="AI37">
        <v>5.95</v>
      </c>
      <c r="AK37" t="s">
        <v>82</v>
      </c>
      <c r="AL37">
        <v>3.6</v>
      </c>
      <c r="AM37">
        <v>3.6</v>
      </c>
      <c r="AN37">
        <v>4.95</v>
      </c>
      <c r="AO37">
        <v>5.15</v>
      </c>
      <c r="AP37">
        <v>5</v>
      </c>
      <c r="AQ37">
        <v>5.3</v>
      </c>
      <c r="AR37">
        <v>5.05</v>
      </c>
      <c r="AS37">
        <v>5.3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  <c r="BF37">
        <v>5.2</v>
      </c>
      <c r="BG37">
        <v>5.5</v>
      </c>
      <c r="BH37">
        <v>5.25</v>
      </c>
      <c r="BI37">
        <v>5.55</v>
      </c>
      <c r="BJ37">
        <v>5.25</v>
      </c>
      <c r="BK37">
        <v>5.5</v>
      </c>
      <c r="BL37">
        <v>5.2</v>
      </c>
      <c r="BM37">
        <v>5.5</v>
      </c>
    </row>
    <row r="38" spans="5:65" hidden="1" x14ac:dyDescent="0.2">
      <c r="G38" t="s">
        <v>45</v>
      </c>
      <c r="H38">
        <v>3</v>
      </c>
      <c r="I38">
        <v>3</v>
      </c>
      <c r="J38">
        <v>3.2</v>
      </c>
      <c r="K38">
        <v>3.2</v>
      </c>
      <c r="L38">
        <v>3.4</v>
      </c>
      <c r="M38">
        <v>3.4</v>
      </c>
      <c r="N38">
        <v>3.55</v>
      </c>
      <c r="O38">
        <v>3.55</v>
      </c>
      <c r="Q38" t="s">
        <v>45</v>
      </c>
      <c r="R38">
        <v>2.65</v>
      </c>
      <c r="S38">
        <v>2.65</v>
      </c>
      <c r="T38">
        <v>2.85</v>
      </c>
      <c r="U38">
        <v>2.85</v>
      </c>
      <c r="V38">
        <v>3</v>
      </c>
      <c r="W38">
        <v>3</v>
      </c>
      <c r="X38">
        <v>3.2</v>
      </c>
      <c r="Y38">
        <v>3.2</v>
      </c>
      <c r="AA38" t="s">
        <v>45</v>
      </c>
      <c r="AB38">
        <v>4.45</v>
      </c>
      <c r="AC38">
        <v>4.45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3.35</v>
      </c>
      <c r="AM38">
        <v>3.35</v>
      </c>
      <c r="AN38">
        <v>4.75</v>
      </c>
      <c r="AO38">
        <v>5.05</v>
      </c>
      <c r="AP38">
        <v>4.8499999999999996</v>
      </c>
      <c r="AQ38">
        <v>5.0999999999999996</v>
      </c>
      <c r="AR38">
        <v>4.9000000000000004</v>
      </c>
      <c r="AS38">
        <v>5.15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  <c r="BF38">
        <v>5.0999999999999996</v>
      </c>
      <c r="BG38">
        <v>5.4</v>
      </c>
      <c r="BH38">
        <v>5.0999999999999996</v>
      </c>
      <c r="BI38">
        <v>5.4</v>
      </c>
      <c r="BJ38">
        <v>5.0999999999999996</v>
      </c>
      <c r="BK38">
        <v>5.35</v>
      </c>
      <c r="BL38">
        <v>5.05</v>
      </c>
      <c r="BM38">
        <v>5.35</v>
      </c>
    </row>
    <row r="39" spans="5:65" hidden="1" x14ac:dyDescent="0.2">
      <c r="G39" t="s">
        <v>68</v>
      </c>
      <c r="H39">
        <v>2.75</v>
      </c>
      <c r="I39">
        <v>2.75</v>
      </c>
      <c r="J39">
        <v>2.9</v>
      </c>
      <c r="K39">
        <v>2.9</v>
      </c>
      <c r="L39">
        <v>3.1</v>
      </c>
      <c r="M39">
        <v>3.1</v>
      </c>
      <c r="N39">
        <v>3.25</v>
      </c>
      <c r="O39">
        <v>3.25</v>
      </c>
      <c r="Q39" t="s">
        <v>68</v>
      </c>
      <c r="R39">
        <v>2.4</v>
      </c>
      <c r="S39">
        <v>2.4</v>
      </c>
      <c r="T39">
        <v>2.5499999999999998</v>
      </c>
      <c r="U39">
        <v>2.5499999999999998</v>
      </c>
      <c r="V39">
        <v>2.7</v>
      </c>
      <c r="W39">
        <v>2.7</v>
      </c>
      <c r="X39">
        <v>2.9</v>
      </c>
      <c r="Y39">
        <v>2.9</v>
      </c>
      <c r="AA39" t="s">
        <v>68</v>
      </c>
      <c r="AB39">
        <v>4.05</v>
      </c>
      <c r="AC39">
        <v>4.05</v>
      </c>
      <c r="AD39">
        <v>4.9000000000000004</v>
      </c>
      <c r="AE39">
        <v>5.25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L39">
        <v>3.05</v>
      </c>
      <c r="AM39">
        <v>3.05</v>
      </c>
      <c r="AN39">
        <v>4.5999999999999996</v>
      </c>
      <c r="AO39">
        <v>4.8499999999999996</v>
      </c>
      <c r="AP39">
        <v>4.6500000000000004</v>
      </c>
      <c r="AQ39">
        <v>4.95</v>
      </c>
      <c r="AR39">
        <v>4.7</v>
      </c>
      <c r="AS39">
        <v>5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  <c r="BF39">
        <v>4.95</v>
      </c>
      <c r="BG39">
        <v>5.2</v>
      </c>
      <c r="BH39">
        <v>4.95</v>
      </c>
      <c r="BI39">
        <v>5.2</v>
      </c>
      <c r="BJ39">
        <v>4.95</v>
      </c>
      <c r="BK39">
        <v>5.2</v>
      </c>
      <c r="BL39">
        <v>4.95</v>
      </c>
      <c r="BM39">
        <v>5.2</v>
      </c>
    </row>
    <row r="40" spans="5:65" hidden="1" x14ac:dyDescent="0.2">
      <c r="G40" t="s">
        <v>71</v>
      </c>
      <c r="H40" s="236">
        <v>188</v>
      </c>
      <c r="I40" s="236"/>
      <c r="J40" s="236">
        <v>211</v>
      </c>
      <c r="K40" s="236"/>
      <c r="L40" s="236">
        <v>235</v>
      </c>
      <c r="M40" s="236"/>
      <c r="N40" s="236">
        <v>257</v>
      </c>
      <c r="O40" s="236"/>
      <c r="R40" s="236">
        <v>179</v>
      </c>
      <c r="S40" s="236"/>
      <c r="T40" s="236">
        <v>202</v>
      </c>
      <c r="U40" s="236"/>
      <c r="V40" s="236">
        <v>225</v>
      </c>
      <c r="W40" s="236"/>
      <c r="X40" s="236">
        <v>248</v>
      </c>
      <c r="Y40" s="236"/>
      <c r="AB40" s="236">
        <v>195</v>
      </c>
      <c r="AC40" s="236"/>
      <c r="AD40" s="236">
        <v>233</v>
      </c>
      <c r="AE40" s="236"/>
      <c r="AF40" s="236">
        <v>256</v>
      </c>
      <c r="AG40" s="236"/>
      <c r="AH40" s="236">
        <v>279</v>
      </c>
      <c r="AI40" s="236"/>
      <c r="AL40" s="236">
        <v>198</v>
      </c>
      <c r="AM40" s="236"/>
      <c r="AN40" s="236">
        <v>233</v>
      </c>
      <c r="AO40" s="236"/>
      <c r="AP40" s="236">
        <v>256</v>
      </c>
      <c r="AQ40" s="236"/>
      <c r="AR40" s="236">
        <v>279</v>
      </c>
      <c r="AS40" s="236"/>
      <c r="AV40" s="236">
        <v>272</v>
      </c>
      <c r="AW40" s="236"/>
      <c r="AX40" s="236">
        <v>295</v>
      </c>
      <c r="AY40" s="236"/>
      <c r="AZ40" s="236">
        <v>318</v>
      </c>
      <c r="BA40" s="236"/>
      <c r="BB40" s="236">
        <v>341</v>
      </c>
      <c r="BC40" s="236"/>
      <c r="BF40" s="236">
        <v>272</v>
      </c>
      <c r="BG40" s="236"/>
      <c r="BH40" s="236">
        <v>295</v>
      </c>
      <c r="BI40" s="236"/>
      <c r="BJ40" s="236">
        <v>318</v>
      </c>
      <c r="BK40" s="236"/>
      <c r="BL40" s="236">
        <v>341</v>
      </c>
      <c r="BM40" s="236"/>
    </row>
    <row r="41" spans="5:65" hidden="1" x14ac:dyDescent="0.2">
      <c r="G41" t="s">
        <v>72</v>
      </c>
      <c r="H41" s="236">
        <v>62.5</v>
      </c>
      <c r="I41" s="236"/>
      <c r="J41" s="236">
        <v>72.5</v>
      </c>
      <c r="K41" s="236"/>
      <c r="L41" s="236">
        <v>82.5</v>
      </c>
      <c r="M41" s="236"/>
      <c r="N41" s="236">
        <v>92.5</v>
      </c>
      <c r="O41" s="236"/>
      <c r="R41" s="236">
        <v>61</v>
      </c>
      <c r="S41" s="236"/>
      <c r="T41" s="236">
        <v>71</v>
      </c>
      <c r="U41" s="236"/>
      <c r="V41" s="236">
        <v>81</v>
      </c>
      <c r="W41" s="236"/>
      <c r="X41" s="236">
        <v>91</v>
      </c>
      <c r="Y41" s="236"/>
      <c r="AB41" s="236">
        <v>69</v>
      </c>
      <c r="AC41" s="236"/>
      <c r="AD41" s="236">
        <v>76</v>
      </c>
      <c r="AE41" s="236"/>
      <c r="AF41" s="236">
        <v>84.5</v>
      </c>
      <c r="AG41" s="236"/>
      <c r="AH41" s="236">
        <v>94.5</v>
      </c>
      <c r="AI41" s="236"/>
      <c r="AL41" s="236">
        <v>69</v>
      </c>
      <c r="AM41" s="236"/>
      <c r="AN41" s="236">
        <v>76</v>
      </c>
      <c r="AO41" s="236"/>
      <c r="AP41" s="236">
        <v>84.5</v>
      </c>
      <c r="AQ41" s="236"/>
      <c r="AR41" s="236">
        <v>94.5</v>
      </c>
      <c r="AS41" s="236"/>
      <c r="AV41" s="236">
        <v>86</v>
      </c>
      <c r="AW41" s="236"/>
      <c r="AX41" s="236">
        <v>96</v>
      </c>
      <c r="AY41" s="236"/>
      <c r="AZ41" s="236">
        <v>106</v>
      </c>
      <c r="BA41" s="236"/>
      <c r="BB41" s="236">
        <v>116</v>
      </c>
      <c r="BC41" s="236"/>
      <c r="BF41" s="236">
        <v>86</v>
      </c>
      <c r="BG41" s="236"/>
      <c r="BH41" s="236">
        <v>96</v>
      </c>
      <c r="BI41" s="236"/>
      <c r="BJ41" s="236">
        <v>106</v>
      </c>
      <c r="BK41" s="236"/>
      <c r="BL41" s="236">
        <v>116</v>
      </c>
      <c r="BM41" s="236"/>
    </row>
    <row r="42" spans="5:65" hidden="1" x14ac:dyDescent="0.2">
      <c r="E42" t="s">
        <v>49</v>
      </c>
      <c r="G42" t="str">
        <f>+DIM!$AK$20&amp;"+"&amp;DIM!$S$14</f>
        <v>251+250</v>
      </c>
      <c r="H42" s="100">
        <f>+VLOOKUP($G$42,$G$16:$O$39,2,FALSE)</f>
        <v>4.3499999999999996</v>
      </c>
      <c r="I42" s="100">
        <f>+VLOOKUP($G$42,$G$16:$O$39,3,FALSE)</f>
        <v>4.3499999999999996</v>
      </c>
      <c r="J42" s="100">
        <f>+VLOOKUP($G$42,$G$16:$O$39,4,FALSE)</f>
        <v>4.55</v>
      </c>
      <c r="K42" s="100">
        <f>+VLOOKUP($G$42,$G$16:$O$39,5,FALSE)</f>
        <v>4.55</v>
      </c>
      <c r="L42" s="100">
        <f>+VLOOKUP($G$42,$G$16:$O$39,6,FALSE)</f>
        <v>4.8</v>
      </c>
      <c r="M42" s="100">
        <f>+VLOOKUP($G$42,$G$16:$O$39,7,FALSE)</f>
        <v>4.8</v>
      </c>
      <c r="N42" s="100">
        <f>+VLOOKUP($G$42,$G$16:$O$39,8,FALSE)</f>
        <v>5</v>
      </c>
      <c r="O42" s="100">
        <f>+VLOOKUP($G$42,$G$16:$O$39,9,FALSE)</f>
        <v>5</v>
      </c>
      <c r="Q42" t="str">
        <f>+DIM!$AK$20&amp;"+"&amp;DIM!$S$14</f>
        <v>251+250</v>
      </c>
      <c r="R42" s="100">
        <f>+VLOOKUP($Q$42,$Q$16:$Y$39,2,FALSE)</f>
        <v>3.85</v>
      </c>
      <c r="S42" s="100">
        <f>+VLOOKUP($Q$42,$Q$16:$Y$39,3,FALSE)</f>
        <v>3.85</v>
      </c>
      <c r="T42" s="100">
        <f>+VLOOKUP($Q$42,$Q$16:$Y$39,4,FALSE)</f>
        <v>4.05</v>
      </c>
      <c r="U42" s="100">
        <f>+VLOOKUP($Q$42,$Q$16:$Y$39,5,FALSE)</f>
        <v>4.05</v>
      </c>
      <c r="V42" s="100">
        <f>+VLOOKUP($Q$42,$Q$16:$Y$39,6,FALSE)</f>
        <v>4.3</v>
      </c>
      <c r="W42" s="100">
        <f>+VLOOKUP($Q$42,$Q$16:$Y$39,7,FALSE)</f>
        <v>4.3</v>
      </c>
      <c r="X42" s="100">
        <f>+VLOOKUP($Q$42,$Q$16:$Y$39,8,FALSE)</f>
        <v>4.5</v>
      </c>
      <c r="Y42" s="100">
        <f>+VLOOKUP($Q$42,$Q$16:$Y$39,9,FALSE)</f>
        <v>4.5</v>
      </c>
      <c r="AA42" t="str">
        <f>+DIM!$AK$20&amp;"+"&amp;DIM!$S$14</f>
        <v>251+250</v>
      </c>
      <c r="AB42" s="100">
        <f>+VLOOKUP($AA$42,$AA$16:$AI$41,2,FALSE)</f>
        <v>5.55</v>
      </c>
      <c r="AC42" s="100">
        <f>+VLOOKUP($AA$42,$AA$16:$AI$41,3,FALSE)</f>
        <v>5.95</v>
      </c>
      <c r="AD42" s="100">
        <f>+VLOOKUP($AA$42,$AA$16:$AI$41,4,FALSE)</f>
        <v>5.9</v>
      </c>
      <c r="AE42" s="100">
        <f>+VLOOKUP($AA$42,$AA$16:$AI$41,5,FALSE)</f>
        <v>6.3</v>
      </c>
      <c r="AF42" s="100">
        <f>+VLOOKUP($AA$42,$AA$16:$AI$41,6,FALSE)</f>
        <v>6</v>
      </c>
      <c r="AG42" s="100">
        <f>+VLOOKUP($AA$42,$AA$16:$AI$41,7,FALSE)</f>
        <v>6.45</v>
      </c>
      <c r="AH42" s="100">
        <f>+VLOOKUP($AA$42,$AA$16:$AI$41,8,FALSE)</f>
        <v>6.15</v>
      </c>
      <c r="AI42" s="100">
        <f>+VLOOKUP($AA$42,$AA$16:$AI$41,9,FALSE)</f>
        <v>6.65</v>
      </c>
      <c r="AK42" t="str">
        <f>+DIM!$AK$20&amp;"+"&amp;DIM!$S$14</f>
        <v>251+250</v>
      </c>
      <c r="AL42" s="100">
        <f>+VLOOKUP($AK$42,$AK$16:$AS$41,2,FALSE)</f>
        <v>4.8</v>
      </c>
      <c r="AM42" s="100">
        <f>+VLOOKUP($AK$42,$AK$16:$AS$41,3,FALSE)</f>
        <v>4.8</v>
      </c>
      <c r="AN42" s="100">
        <f>+VLOOKUP($AK$42,$AK$16:$AS$41,4,FALSE)</f>
        <v>5.45</v>
      </c>
      <c r="AO42" s="100">
        <f>+VLOOKUP($AK$42,$AK$16:$AS$41,5,FALSE)</f>
        <v>5.75</v>
      </c>
      <c r="AP42" s="100">
        <f>+VLOOKUP($AK$42,$AK$16:$AS$41,6,FALSE)</f>
        <v>5.5</v>
      </c>
      <c r="AQ42" s="100">
        <f>+VLOOKUP($AK$42,$AK$16:$AS$41,7,FALSE)</f>
        <v>5.8</v>
      </c>
      <c r="AR42" s="100">
        <f>+VLOOKUP($AK$42,$AK$16:$AS$41,8,FALSE)</f>
        <v>5.5</v>
      </c>
      <c r="AS42" s="100">
        <f>+VLOOKUP($AK$42,$AK$16:$AS$41,9,FALSE)</f>
        <v>5.8</v>
      </c>
      <c r="AU42" t="str">
        <f>+DIM!$AK$20&amp;"+"&amp;DIM!$S$14</f>
        <v>251+250</v>
      </c>
      <c r="AV42" s="100">
        <f>+VLOOKUP($AU$42,$AU$16:$BC$41,2,FALSE)</f>
        <v>6.6</v>
      </c>
      <c r="AW42" s="100">
        <f>+VLOOKUP($AU$42,$AU$16:$BC$41,3,FALSE)</f>
        <v>7.1</v>
      </c>
      <c r="AX42" s="100">
        <f>+VLOOKUP($AU$42,$AU$16:$BC$41,4,FALSE)</f>
        <v>6.8</v>
      </c>
      <c r="AY42" s="100">
        <f>+VLOOKUP($AU$42,$AU$16:$BC$41,5,FALSE)</f>
        <v>7.3</v>
      </c>
      <c r="AZ42" s="100">
        <f>+VLOOKUP($AU$42,$AU$16:$BC$41,6,FALSE)</f>
        <v>6.9</v>
      </c>
      <c r="BA42" s="100">
        <f>+VLOOKUP($AU$42,$AU$16:$BC$41,7,FALSE)</f>
        <v>7.45</v>
      </c>
      <c r="BB42" s="100">
        <f>+VLOOKUP($AU$42,$AU$16:$BC$41,8,FALSE)</f>
        <v>7.05</v>
      </c>
      <c r="BC42" s="100">
        <f>+VLOOKUP($AU$42,$AU$16:$BC$41,9,FALSE)</f>
        <v>7.6</v>
      </c>
      <c r="BE42" t="str">
        <f>+DIM!$AK$20&amp;"+"&amp;DIM!$S$14</f>
        <v>251+250</v>
      </c>
      <c r="BF42" s="100">
        <f>+VLOOKUP($BE$42,$BE$16:$BM$41,2,FALSE)</f>
        <v>5.7</v>
      </c>
      <c r="BG42" s="100">
        <f>+VLOOKUP($BE$42,$BE$16:$BM$41,3,FALSE)</f>
        <v>6.05</v>
      </c>
      <c r="BH42" s="100">
        <f>+VLOOKUP($BE$42,$BE$16:$BM$41,4,FALSE)</f>
        <v>5.65</v>
      </c>
      <c r="BI42" s="100">
        <f>+VLOOKUP($BE$42,$BE$16:$BM$41,5,FALSE)</f>
        <v>5.9</v>
      </c>
      <c r="BJ42" s="100">
        <f>+VLOOKUP($BE$42,$BE$16:$BM$41,6,FALSE)</f>
        <v>5.6</v>
      </c>
      <c r="BK42" s="100">
        <f>+VLOOKUP($BE$42,$BE$16:$BM$41,7,FALSE)</f>
        <v>5.75</v>
      </c>
      <c r="BL42" s="100">
        <f>+VLOOKUP($BE$42,$BE$16:$BM$41,8,FALSE)</f>
        <v>5.5</v>
      </c>
      <c r="BM42" s="100">
        <f>+VLOOKUP($BE$42,$BE$16:$BM$41,9,FALSE)</f>
        <v>5.6</v>
      </c>
    </row>
    <row r="43" spans="5:65" hidden="1" x14ac:dyDescent="0.2">
      <c r="F43" t="s">
        <v>47</v>
      </c>
      <c r="G43" t="str">
        <f>+DIM!AD15</f>
        <v>1C</v>
      </c>
      <c r="H43" s="235">
        <f>+IF(DIM!$AD$15=ebsvs!$H$15,ebsvs!H42,ebsvs!I42)</f>
        <v>4.3499999999999996</v>
      </c>
      <c r="I43" s="235"/>
      <c r="J43" s="235">
        <f>+IF(DIM!$AD$15=ebsvs!$H$15,ebsvs!J42,ebsvs!K42)</f>
        <v>4.55</v>
      </c>
      <c r="K43" s="235"/>
      <c r="L43" s="235">
        <f>+IF(DIM!$AD$15=ebsvs!$H$15,ebsvs!L42,ebsvs!M42)</f>
        <v>4.8</v>
      </c>
      <c r="M43" s="235"/>
      <c r="N43" s="235">
        <f>+IF(DIM!$AD$15=ebsvs!$H$15,ebsvs!N42,ebsvs!O42)</f>
        <v>5</v>
      </c>
      <c r="O43" s="235"/>
      <c r="Q43" t="str">
        <f>+DIM!AD15</f>
        <v>1C</v>
      </c>
      <c r="R43" s="233">
        <f>+IF(DIM!$AD$15=ebsvs!$H$15,ebsvs!R42,ebsvs!S42)</f>
        <v>3.85</v>
      </c>
      <c r="S43" s="234"/>
      <c r="T43" s="233">
        <f>+IF(DIM!$AD$15=ebsvs!$H$15,ebsvs!T42,ebsvs!U42)</f>
        <v>4.05</v>
      </c>
      <c r="U43" s="234"/>
      <c r="V43" s="233">
        <f>+IF(DIM!$AD$15=ebsvs!$H$15,ebsvs!V42,ebsvs!W42)</f>
        <v>4.3</v>
      </c>
      <c r="W43" s="234"/>
      <c r="X43" s="233">
        <f>+IF(DIM!$AD$15=ebsvs!$H$15,ebsvs!X42,ebsvs!Y42)</f>
        <v>4.5</v>
      </c>
      <c r="Y43" s="234"/>
      <c r="AA43" t="str">
        <f>+DIM!AD15</f>
        <v>1C</v>
      </c>
      <c r="AB43" s="233">
        <f>+IF(DIM!$AD$15=ebsvs!$H$15,ebsvs!AB42,ebsvs!AC42)</f>
        <v>5.95</v>
      </c>
      <c r="AC43" s="234"/>
      <c r="AD43" s="233">
        <f>+IF(DIM!$AD$15=ebsvs!$H$15,ebsvs!AD42,ebsvs!AE42)</f>
        <v>6.3</v>
      </c>
      <c r="AE43" s="234"/>
      <c r="AF43" s="233">
        <f>+IF(DIM!$AD$15=ebsvs!$H$15,ebsvs!AF42,ebsvs!AG42)</f>
        <v>6.45</v>
      </c>
      <c r="AG43" s="234"/>
      <c r="AH43" s="233">
        <f>+IF(DIM!$AD$15=ebsvs!$H$15,ebsvs!AH42,ebsvs!AI42)</f>
        <v>6.65</v>
      </c>
      <c r="AI43" s="234"/>
      <c r="AK43" t="str">
        <f>+DIM!AD15</f>
        <v>1C</v>
      </c>
      <c r="AL43" s="233">
        <f>+IF(DIM!$AD$15=ebsvs!$H$15,ebsvs!AL42,ebsvs!AM42)</f>
        <v>4.8</v>
      </c>
      <c r="AM43" s="234"/>
      <c r="AN43" s="233">
        <f>+IF(DIM!$AD$15=ebsvs!$H$15,ebsvs!AN42,ebsvs!AO42)</f>
        <v>5.75</v>
      </c>
      <c r="AO43" s="234"/>
      <c r="AP43" s="233">
        <f>+IF(DIM!$AD$15=ebsvs!$H$15,ebsvs!AP42,ebsvs!AQ42)</f>
        <v>5.8</v>
      </c>
      <c r="AQ43" s="234"/>
      <c r="AR43" s="233">
        <f>+IF(DIM!$AD$15=ebsvs!$H$15,ebsvs!AR42,ebsvs!AS42)</f>
        <v>5.8</v>
      </c>
      <c r="AS43" s="234"/>
      <c r="AU43" t="str">
        <f>+AK43</f>
        <v>1C</v>
      </c>
      <c r="AV43" s="233">
        <f>+IF(DIM!$AD$15=ebsvs!$H$15,ebsvs!AV42,ebsvs!AW42)</f>
        <v>7.1</v>
      </c>
      <c r="AW43" s="234"/>
      <c r="AX43" s="233">
        <f>+IF(DIM!$AD$15=ebsvs!$H$15,ebsvs!AX42,ebsvs!AY42)</f>
        <v>7.3</v>
      </c>
      <c r="AY43" s="234"/>
      <c r="AZ43" s="233">
        <f>+IF(DIM!$AD$15=ebsvs!$H$15,ebsvs!AZ42,ebsvs!BA42)</f>
        <v>7.45</v>
      </c>
      <c r="BA43" s="234"/>
      <c r="BB43" s="233">
        <f>+IF(DIM!$AD$15=ebsvs!$H$15,ebsvs!BB42,ebsvs!BC42)</f>
        <v>7.6</v>
      </c>
      <c r="BC43" s="234"/>
      <c r="BE43" t="str">
        <f>+AU43</f>
        <v>1C</v>
      </c>
      <c r="BF43" s="233">
        <f>+IF(DIM!$AD$15=ebsvs!$H$15,ebsvs!BF42,ebsvs!BG42)</f>
        <v>6.05</v>
      </c>
      <c r="BG43" s="234"/>
      <c r="BH43" s="233">
        <f>+IF(DIM!$AD$15=ebsvs!$H$15,ebsvs!BH42,ebsvs!BI42)</f>
        <v>5.9</v>
      </c>
      <c r="BI43" s="234"/>
      <c r="BJ43" s="233">
        <f>+IF(DIM!$AD$15=ebsvs!$H$15,ebsvs!BJ42,ebsvs!BK42)</f>
        <v>5.75</v>
      </c>
      <c r="BK43" s="234"/>
      <c r="BL43" s="233">
        <f>+IF(DIM!$AD$15=ebsvs!$H$15,ebsvs!BL42,ebsvs!BM42)</f>
        <v>5.6</v>
      </c>
      <c r="BM43" s="234"/>
    </row>
    <row r="44" spans="5:65" hidden="1" x14ac:dyDescent="0.2">
      <c r="F44" t="s">
        <v>48</v>
      </c>
      <c r="G44" s="101">
        <f>+DIM!S32</f>
        <v>5</v>
      </c>
      <c r="K44" s="102">
        <f>+HLOOKUP(G44,H14:O43,30,FALSE)</f>
        <v>4.3499999999999996</v>
      </c>
      <c r="Q44" s="101">
        <f>+DIM!S32</f>
        <v>5</v>
      </c>
      <c r="U44" s="102">
        <f>+HLOOKUP(Q44,R14:Y43,30,FALSE)</f>
        <v>3.85</v>
      </c>
      <c r="AA44" s="101">
        <f>+DIM!S32</f>
        <v>5</v>
      </c>
      <c r="AE44" s="102">
        <f>+HLOOKUP(AA44,AB14:AI43,30,FALSE)</f>
        <v>5.95</v>
      </c>
      <c r="AK44" s="101">
        <f>+AA44</f>
        <v>5</v>
      </c>
      <c r="AO44" s="102">
        <f>+HLOOKUP(AK44,AL14:AS43,30,FALSE)</f>
        <v>4.8</v>
      </c>
      <c r="AU44" s="100">
        <f>+AK44</f>
        <v>5</v>
      </c>
      <c r="AY44" s="102">
        <f>+HLOOKUP(AU44,AV14:BC43,30,FALSE)</f>
        <v>7.1</v>
      </c>
      <c r="BE44" s="101">
        <f>+AU44</f>
        <v>5</v>
      </c>
      <c r="BI44" s="102">
        <f>+HLOOKUP(BE44,BF14:BM43,30,FALSE)</f>
        <v>6.05</v>
      </c>
    </row>
    <row r="45" spans="5:65" hidden="1" x14ac:dyDescent="0.2">
      <c r="E45">
        <f>+DIM!Q32</f>
        <v>15</v>
      </c>
      <c r="F45" t="s">
        <v>65</v>
      </c>
      <c r="K45" s="103" t="str">
        <f>+K10&amp;"+"&amp;G44</f>
        <v>12+5</v>
      </c>
      <c r="U45" s="103" t="str">
        <f>+U10&amp;"+"&amp;Q44</f>
        <v>12+5</v>
      </c>
      <c r="AE45" s="103" t="str">
        <f>+AE10&amp;"+"&amp;AA44</f>
        <v>15+5</v>
      </c>
      <c r="AO45" s="103" t="str">
        <f>+AO10&amp;"+"&amp;AK44</f>
        <v>15+5</v>
      </c>
      <c r="AY45" s="103" t="str">
        <f>+AY10&amp;"+"&amp;AU44</f>
        <v>20+5</v>
      </c>
      <c r="BI45" s="103" t="str">
        <f>+BI10&amp;"+"&amp;BE44</f>
        <v>20+5</v>
      </c>
    </row>
    <row r="46" spans="5:65" hidden="1" x14ac:dyDescent="0.2">
      <c r="F46" t="s">
        <v>66</v>
      </c>
      <c r="G46" t="str">
        <f>+DIM!S19</f>
        <v>avec etai</v>
      </c>
      <c r="K46" s="98">
        <f>+HLOOKUP(G44,H14:O40,27,FALSE)</f>
        <v>188</v>
      </c>
      <c r="U46" s="98">
        <f>+HLOOKUP(Q44,R14:Y40,27,FALSE)</f>
        <v>179</v>
      </c>
      <c r="AE46" s="98">
        <f>+HLOOKUP(AA44,AB14:AI40,27,FALSE)</f>
        <v>195</v>
      </c>
      <c r="AO46" s="98">
        <f>+HLOOKUP(AK44,AL14:AS40,27,FALSE)</f>
        <v>198</v>
      </c>
      <c r="AY46" s="98">
        <f>+HLOOKUP(AU44,AV14:BC40,27,FALSE)</f>
        <v>272</v>
      </c>
      <c r="BI46" s="98">
        <f>+HLOOKUP(BE44,BF14:BM40,27,FALSE)</f>
        <v>272</v>
      </c>
    </row>
    <row r="47" spans="5:65" hidden="1" x14ac:dyDescent="0.2">
      <c r="F47">
        <v>12</v>
      </c>
      <c r="G47">
        <f>+IF($G$46="avec etai",K44,U44)</f>
        <v>4.3499999999999996</v>
      </c>
      <c r="H47">
        <f>+IF($G$46="avec etai",K46,U46)</f>
        <v>188</v>
      </c>
      <c r="I47">
        <f>+IF($G$46="avec etai",K47,U47)</f>
        <v>62.5</v>
      </c>
      <c r="J47">
        <f>+IF($G$46="avec etai",K48,U48)</f>
        <v>14.85</v>
      </c>
      <c r="K47" s="98">
        <f>+HLOOKUP(G44,H14:O41,28,FALSE)</f>
        <v>62.5</v>
      </c>
      <c r="U47" s="98">
        <f>+HLOOKUP(Q44,R14:Y41,28,FALSE)</f>
        <v>61</v>
      </c>
      <c r="AE47" s="98">
        <f>+HLOOKUP(AA44,AB14:AI41,28,FALSE)</f>
        <v>69</v>
      </c>
      <c r="AO47" s="98">
        <f>+HLOOKUP(AK44,AL14:AS41,28,FALSE)</f>
        <v>69</v>
      </c>
      <c r="AY47" s="98">
        <f>+HLOOKUP(AU44,AV14:BC41,28,FALSE)</f>
        <v>86</v>
      </c>
      <c r="BI47" s="98">
        <f>+HLOOKUP(BE44,BF14:BM41,28,FALSE)</f>
        <v>86</v>
      </c>
    </row>
    <row r="48" spans="5:65" hidden="1" x14ac:dyDescent="0.2">
      <c r="F48">
        <v>15</v>
      </c>
      <c r="G48">
        <f>+IF($G$46="avec etai",AE44,AO44)</f>
        <v>5.95</v>
      </c>
      <c r="H48">
        <f>+IF($G$46="avec etai",AE46,AO46)</f>
        <v>195</v>
      </c>
      <c r="I48">
        <f>+IF($G$46="avec etai",AE47,AO47)</f>
        <v>69</v>
      </c>
      <c r="J48">
        <f>+IF($G$46="avec etai",AE48,AO48)</f>
        <v>16.72</v>
      </c>
      <c r="K48" s="98">
        <f>+HLOOKUP(K45,H113:O115,3,FALSE)</f>
        <v>14.85</v>
      </c>
      <c r="U48" s="98">
        <f>+HLOOKUP(U45,R113:Y115,3,FALSE)</f>
        <v>15.19</v>
      </c>
      <c r="AE48" s="98">
        <f>+HLOOKUP(AE45,AB113:AI115,3,FALSE)</f>
        <v>16.72</v>
      </c>
      <c r="AO48" s="98">
        <f>+HLOOKUP(AO45,AL113:AS115,3,FALSE)</f>
        <v>16.72</v>
      </c>
      <c r="AY48" s="98">
        <f>+HLOOKUP(AY45,AV113:BC115,3,FALSE)</f>
        <v>20.98</v>
      </c>
      <c r="BI48" s="98">
        <f>+HLOOKUP(BI45,BF113:BM115,3,FALSE)</f>
        <v>20.98</v>
      </c>
    </row>
    <row r="49" spans="5:65" ht="19.5" hidden="1" x14ac:dyDescent="0.35">
      <c r="F49">
        <v>20</v>
      </c>
      <c r="G49">
        <f>+IF($G$46="avec etai",AY44,BI44)</f>
        <v>7.1</v>
      </c>
      <c r="H49">
        <f>+IF($G$46="avec etai",AY46,BI46)</f>
        <v>272</v>
      </c>
      <c r="I49">
        <f>+IF($G$46="avec etaii",AY47,BI47)</f>
        <v>86</v>
      </c>
      <c r="J49">
        <f>+IF($G$46="avec etaii",AY48,BI48)</f>
        <v>20.98</v>
      </c>
      <c r="K49" s="97">
        <v>12</v>
      </c>
      <c r="U49" s="97">
        <v>12</v>
      </c>
      <c r="AE49" s="97">
        <v>15</v>
      </c>
      <c r="AO49" s="97">
        <v>15</v>
      </c>
      <c r="AY49" s="97">
        <v>20</v>
      </c>
      <c r="BI49" s="97">
        <v>20</v>
      </c>
    </row>
    <row r="50" spans="5:65" hidden="1" x14ac:dyDescent="0.2">
      <c r="E50" s="98" t="s">
        <v>301</v>
      </c>
      <c r="F50" t="s">
        <v>64</v>
      </c>
      <c r="G50">
        <f>IF($E$45&gt;20,"--",+VLOOKUP(DIM!Q32,ebsvs!F47:I49,2,FALSE))</f>
        <v>5.95</v>
      </c>
      <c r="K50" s="98" t="s">
        <v>78</v>
      </c>
      <c r="U50" s="98" t="s">
        <v>83</v>
      </c>
      <c r="AE50" s="98" t="s">
        <v>84</v>
      </c>
      <c r="AO50" s="98" t="s">
        <v>79</v>
      </c>
      <c r="AY50" s="98" t="s">
        <v>84</v>
      </c>
      <c r="BI50" s="98" t="s">
        <v>79</v>
      </c>
    </row>
    <row r="51" spans="5:65" hidden="1" x14ac:dyDescent="0.2">
      <c r="E51" s="98" t="s">
        <v>88</v>
      </c>
      <c r="F51" t="s">
        <v>75</v>
      </c>
      <c r="G51">
        <f>IF($E$45&gt;20,0,+VLOOKUP(DIM!Q32,ebsvs!F47:I49,3,FALSE))</f>
        <v>195</v>
      </c>
    </row>
    <row r="52" spans="5:65" hidden="1" x14ac:dyDescent="0.2">
      <c r="F52" t="s">
        <v>72</v>
      </c>
      <c r="G52">
        <f>IF($E$45&gt;20,0,+VLOOKUP(DIM!Q32,ebsvs!F47:I49,4,FALSE))</f>
        <v>69</v>
      </c>
    </row>
    <row r="53" spans="5:65" hidden="1" x14ac:dyDescent="0.2">
      <c r="F53" t="s">
        <v>275</v>
      </c>
      <c r="G53">
        <f>IF($E$45&gt;20,0,+VLOOKUP(DIM!Q32,F47:J49,5,FALSE))</f>
        <v>16.72</v>
      </c>
    </row>
    <row r="54" spans="5:65" hidden="1" x14ac:dyDescent="0.2"/>
    <row r="55" spans="5:65" hidden="1" x14ac:dyDescent="0.2"/>
    <row r="56" spans="5:65" ht="19.5" hidden="1" x14ac:dyDescent="0.35">
      <c r="K56" s="97">
        <v>12</v>
      </c>
      <c r="L56" s="97" t="s">
        <v>87</v>
      </c>
      <c r="U56" s="97">
        <v>12</v>
      </c>
      <c r="V56" s="97" t="s">
        <v>87</v>
      </c>
      <c r="AE56" s="97">
        <v>15</v>
      </c>
      <c r="AF56" s="97" t="s">
        <v>87</v>
      </c>
      <c r="AO56" s="97">
        <v>15</v>
      </c>
      <c r="AP56" s="97" t="s">
        <v>87</v>
      </c>
      <c r="AY56" s="97">
        <v>20</v>
      </c>
      <c r="AZ56" s="97" t="s">
        <v>87</v>
      </c>
      <c r="BI56" s="97">
        <v>20</v>
      </c>
      <c r="BJ56" s="97" t="s">
        <v>87</v>
      </c>
    </row>
    <row r="57" spans="5:65" hidden="1" x14ac:dyDescent="0.2">
      <c r="K57" s="98" t="s">
        <v>78</v>
      </c>
      <c r="U57" s="98" t="s">
        <v>83</v>
      </c>
      <c r="AE57" s="98" t="s">
        <v>84</v>
      </c>
      <c r="AO57" s="98" t="s">
        <v>79</v>
      </c>
      <c r="AY57" s="98" t="s">
        <v>84</v>
      </c>
      <c r="BI57" s="98" t="s">
        <v>79</v>
      </c>
    </row>
    <row r="58" spans="5:65" hidden="1" x14ac:dyDescent="0.2">
      <c r="H58">
        <v>137</v>
      </c>
      <c r="R58">
        <v>937</v>
      </c>
      <c r="T58">
        <v>937</v>
      </c>
      <c r="U58">
        <v>937</v>
      </c>
      <c r="V58">
        <v>937</v>
      </c>
      <c r="W58">
        <v>937</v>
      </c>
      <c r="X58">
        <v>937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235" t="s">
        <v>302</v>
      </c>
      <c r="I59" s="235"/>
      <c r="J59" s="235" t="s">
        <v>303</v>
      </c>
      <c r="K59" s="235"/>
      <c r="L59" s="235" t="s">
        <v>304</v>
      </c>
      <c r="M59" s="235"/>
      <c r="N59" s="235" t="s">
        <v>305</v>
      </c>
      <c r="O59" s="235"/>
      <c r="R59" s="235" t="s">
        <v>302</v>
      </c>
      <c r="S59" s="235"/>
      <c r="T59" s="235" t="s">
        <v>303</v>
      </c>
      <c r="U59" s="235"/>
      <c r="V59" s="235" t="s">
        <v>304</v>
      </c>
      <c r="W59" s="235"/>
      <c r="X59" s="235" t="s">
        <v>305</v>
      </c>
      <c r="Y59" s="235"/>
      <c r="AB59" s="235" t="s">
        <v>306</v>
      </c>
      <c r="AC59" s="235"/>
      <c r="AD59" s="235" t="s">
        <v>307</v>
      </c>
      <c r="AE59" s="235"/>
      <c r="AF59" s="235" t="s">
        <v>308</v>
      </c>
      <c r="AG59" s="235"/>
      <c r="AH59" s="235" t="s">
        <v>309</v>
      </c>
      <c r="AI59" s="235"/>
      <c r="AL59" s="235" t="s">
        <v>306</v>
      </c>
      <c r="AM59" s="235"/>
      <c r="AN59" s="235" t="s">
        <v>307</v>
      </c>
      <c r="AO59" s="235"/>
      <c r="AP59" s="235" t="s">
        <v>308</v>
      </c>
      <c r="AQ59" s="235"/>
      <c r="AR59" s="235" t="s">
        <v>309</v>
      </c>
      <c r="AS59" s="235"/>
      <c r="AV59" s="235" t="s">
        <v>310</v>
      </c>
      <c r="AW59" s="235"/>
      <c r="AX59" s="235" t="s">
        <v>311</v>
      </c>
      <c r="AY59" s="235"/>
      <c r="AZ59" s="235" t="s">
        <v>312</v>
      </c>
      <c r="BA59" s="235"/>
      <c r="BB59" s="235" t="s">
        <v>313</v>
      </c>
      <c r="BC59" s="235"/>
      <c r="BF59" s="235" t="s">
        <v>310</v>
      </c>
      <c r="BG59" s="235"/>
      <c r="BH59" s="235" t="s">
        <v>311</v>
      </c>
      <c r="BI59" s="235"/>
      <c r="BJ59" s="235" t="s">
        <v>312</v>
      </c>
      <c r="BK59" s="235"/>
      <c r="BL59" s="235" t="s">
        <v>313</v>
      </c>
      <c r="BM59" s="235"/>
    </row>
    <row r="60" spans="5:65" hidden="1" x14ac:dyDescent="0.2">
      <c r="H60" s="235">
        <v>5</v>
      </c>
      <c r="I60" s="235"/>
      <c r="J60" s="235">
        <v>6</v>
      </c>
      <c r="K60" s="235"/>
      <c r="L60" s="235">
        <v>7</v>
      </c>
      <c r="M60" s="235"/>
      <c r="N60" s="235">
        <v>8</v>
      </c>
      <c r="O60" s="235"/>
      <c r="R60" s="235">
        <v>5</v>
      </c>
      <c r="S60" s="235"/>
      <c r="T60" s="235">
        <v>6</v>
      </c>
      <c r="U60" s="235"/>
      <c r="V60" s="235">
        <v>7</v>
      </c>
      <c r="W60" s="235"/>
      <c r="X60" s="235">
        <v>8</v>
      </c>
      <c r="Y60" s="235"/>
      <c r="AB60" s="235">
        <v>5</v>
      </c>
      <c r="AC60" s="235"/>
      <c r="AD60" s="235">
        <v>6</v>
      </c>
      <c r="AE60" s="235"/>
      <c r="AF60" s="235">
        <v>7</v>
      </c>
      <c r="AG60" s="235"/>
      <c r="AH60" s="235">
        <v>8</v>
      </c>
      <c r="AI60" s="235"/>
      <c r="AL60" s="235">
        <v>5</v>
      </c>
      <c r="AM60" s="235"/>
      <c r="AN60" s="235">
        <v>6</v>
      </c>
      <c r="AO60" s="235"/>
      <c r="AP60" s="235">
        <v>7</v>
      </c>
      <c r="AQ60" s="235"/>
      <c r="AR60" s="235">
        <v>8</v>
      </c>
      <c r="AS60" s="235"/>
      <c r="AV60" s="235">
        <v>5</v>
      </c>
      <c r="AW60" s="235"/>
      <c r="AX60" s="235">
        <v>6</v>
      </c>
      <c r="AY60" s="235"/>
      <c r="AZ60" s="235">
        <v>7</v>
      </c>
      <c r="BA60" s="235"/>
      <c r="BB60" s="235">
        <v>8</v>
      </c>
      <c r="BC60" s="235"/>
      <c r="BF60" s="235">
        <v>5</v>
      </c>
      <c r="BG60" s="235"/>
      <c r="BH60" s="235">
        <v>6</v>
      </c>
      <c r="BI60" s="235"/>
      <c r="BJ60" s="235">
        <v>7</v>
      </c>
      <c r="BK60" s="235"/>
      <c r="BL60" s="235">
        <v>8</v>
      </c>
      <c r="BM60" s="235"/>
    </row>
    <row r="61" spans="5:65" hidden="1" x14ac:dyDescent="0.2">
      <c r="H61" s="99" t="s">
        <v>24</v>
      </c>
      <c r="I61" s="99" t="s">
        <v>25</v>
      </c>
      <c r="J61" s="99" t="s">
        <v>24</v>
      </c>
      <c r="K61" s="99" t="s">
        <v>25</v>
      </c>
      <c r="L61" s="99" t="s">
        <v>24</v>
      </c>
      <c r="M61" s="99" t="s">
        <v>25</v>
      </c>
      <c r="N61" s="99" t="s">
        <v>24</v>
      </c>
      <c r="O61" s="99" t="s">
        <v>25</v>
      </c>
      <c r="R61" s="99" t="s">
        <v>24</v>
      </c>
      <c r="S61" s="99" t="s">
        <v>25</v>
      </c>
      <c r="T61" s="99" t="s">
        <v>24</v>
      </c>
      <c r="U61" s="99" t="s">
        <v>25</v>
      </c>
      <c r="V61" s="99" t="s">
        <v>24</v>
      </c>
      <c r="W61" s="99" t="s">
        <v>25</v>
      </c>
      <c r="X61" s="99" t="s">
        <v>24</v>
      </c>
      <c r="Y61" s="99" t="s">
        <v>25</v>
      </c>
      <c r="AB61" s="99" t="s">
        <v>24</v>
      </c>
      <c r="AC61" s="99" t="s">
        <v>25</v>
      </c>
      <c r="AD61" s="99" t="s">
        <v>24</v>
      </c>
      <c r="AE61" s="99" t="s">
        <v>25</v>
      </c>
      <c r="AF61" s="99" t="s">
        <v>24</v>
      </c>
      <c r="AG61" s="99" t="s">
        <v>25</v>
      </c>
      <c r="AH61" s="99" t="s">
        <v>24</v>
      </c>
      <c r="AI61" s="99" t="s">
        <v>25</v>
      </c>
      <c r="AL61" s="99" t="s">
        <v>24</v>
      </c>
      <c r="AM61" s="99" t="s">
        <v>25</v>
      </c>
      <c r="AN61" s="99" t="s">
        <v>24</v>
      </c>
      <c r="AO61" s="99" t="s">
        <v>25</v>
      </c>
      <c r="AP61" s="99" t="s">
        <v>24</v>
      </c>
      <c r="AQ61" s="99" t="s">
        <v>25</v>
      </c>
      <c r="AR61" s="99" t="s">
        <v>24</v>
      </c>
      <c r="AS61" s="99" t="s">
        <v>25</v>
      </c>
      <c r="AV61" s="99" t="s">
        <v>24</v>
      </c>
      <c r="AW61" s="99" t="s">
        <v>25</v>
      </c>
      <c r="AX61" s="99" t="s">
        <v>24</v>
      </c>
      <c r="AY61" s="99" t="s">
        <v>25</v>
      </c>
      <c r="AZ61" s="99" t="s">
        <v>24</v>
      </c>
      <c r="BA61" s="99" t="s">
        <v>25</v>
      </c>
      <c r="BB61" s="99" t="s">
        <v>24</v>
      </c>
      <c r="BC61" s="99" t="s">
        <v>25</v>
      </c>
      <c r="BF61" s="99" t="s">
        <v>24</v>
      </c>
      <c r="BG61" s="99" t="s">
        <v>25</v>
      </c>
      <c r="BH61" s="99" t="s">
        <v>24</v>
      </c>
      <c r="BI61" s="99" t="s">
        <v>25</v>
      </c>
      <c r="BJ61" s="99" t="s">
        <v>24</v>
      </c>
      <c r="BK61" s="99" t="s">
        <v>25</v>
      </c>
      <c r="BL61" s="99" t="s">
        <v>24</v>
      </c>
      <c r="BM61" s="99" t="s">
        <v>25</v>
      </c>
    </row>
    <row r="62" spans="5:65" hidden="1" x14ac:dyDescent="0.2">
      <c r="G62" t="s">
        <v>161</v>
      </c>
      <c r="H62">
        <v>7</v>
      </c>
      <c r="I62">
        <v>7.5</v>
      </c>
      <c r="J62">
        <v>7.2</v>
      </c>
      <c r="K62">
        <v>7.75</v>
      </c>
      <c r="L62">
        <v>7.4</v>
      </c>
      <c r="M62">
        <v>8</v>
      </c>
      <c r="N62">
        <v>7.6</v>
      </c>
      <c r="O62">
        <v>8.25</v>
      </c>
      <c r="Q62" t="s">
        <v>161</v>
      </c>
      <c r="R62">
        <v>6.8</v>
      </c>
      <c r="S62">
        <v>6.8</v>
      </c>
      <c r="T62">
        <v>6.6</v>
      </c>
      <c r="U62">
        <v>6.6</v>
      </c>
      <c r="V62">
        <v>6.4</v>
      </c>
      <c r="W62">
        <v>6.4</v>
      </c>
      <c r="X62">
        <v>6.25</v>
      </c>
      <c r="Y62">
        <v>6.25</v>
      </c>
      <c r="AA62" t="s">
        <v>161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8.4</v>
      </c>
      <c r="AI62">
        <v>9</v>
      </c>
      <c r="AK62" t="s">
        <v>161</v>
      </c>
      <c r="AL62">
        <v>6.6</v>
      </c>
      <c r="AM62">
        <v>6.6</v>
      </c>
      <c r="AN62">
        <v>7.85</v>
      </c>
      <c r="AO62">
        <v>7.85</v>
      </c>
      <c r="AP62">
        <v>7.65</v>
      </c>
      <c r="AQ62">
        <v>7.65</v>
      </c>
      <c r="AR62">
        <v>7.45</v>
      </c>
      <c r="AS62">
        <v>7.45</v>
      </c>
      <c r="AU62" t="s">
        <v>161</v>
      </c>
      <c r="AV62">
        <v>9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161</v>
      </c>
      <c r="BF62">
        <v>7.45</v>
      </c>
      <c r="BG62">
        <v>7.45</v>
      </c>
      <c r="BH62">
        <v>7.25</v>
      </c>
      <c r="BI62">
        <v>7.25</v>
      </c>
      <c r="BJ62">
        <v>7.1</v>
      </c>
      <c r="BK62">
        <v>7.1</v>
      </c>
      <c r="BL62">
        <v>6.9</v>
      </c>
      <c r="BM62">
        <v>6.9</v>
      </c>
    </row>
    <row r="63" spans="5:65" hidden="1" x14ac:dyDescent="0.2">
      <c r="G63" t="s">
        <v>34</v>
      </c>
      <c r="H63">
        <v>6.6</v>
      </c>
      <c r="I63">
        <v>7.12</v>
      </c>
      <c r="J63">
        <v>6.8</v>
      </c>
      <c r="K63">
        <v>7.38</v>
      </c>
      <c r="L63">
        <v>6.4</v>
      </c>
      <c r="M63">
        <v>7</v>
      </c>
      <c r="N63">
        <v>7.6</v>
      </c>
      <c r="O63">
        <v>7.85</v>
      </c>
      <c r="Q63" t="s">
        <v>34</v>
      </c>
      <c r="R63">
        <v>6.5</v>
      </c>
      <c r="S63">
        <v>5.5</v>
      </c>
      <c r="T63">
        <v>6.3</v>
      </c>
      <c r="U63">
        <v>6.3</v>
      </c>
      <c r="V63">
        <v>6.15</v>
      </c>
      <c r="W63">
        <v>6.15</v>
      </c>
      <c r="X63">
        <v>5.95</v>
      </c>
      <c r="Y63">
        <v>5.95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L63">
        <v>6.6</v>
      </c>
      <c r="AM63">
        <v>6.6</v>
      </c>
      <c r="AN63">
        <v>7.6</v>
      </c>
      <c r="AO63">
        <v>7.85</v>
      </c>
      <c r="AP63">
        <v>7.65</v>
      </c>
      <c r="AQ63">
        <v>7.65</v>
      </c>
      <c r="AR63">
        <v>7.45</v>
      </c>
      <c r="AS63">
        <v>7.45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  <c r="BF63">
        <v>7.45</v>
      </c>
      <c r="BG63">
        <v>7.45</v>
      </c>
      <c r="BH63">
        <v>7.25</v>
      </c>
      <c r="BI63">
        <v>7.25</v>
      </c>
      <c r="BJ63">
        <v>7.1</v>
      </c>
      <c r="BK63">
        <v>7.1</v>
      </c>
      <c r="BL63">
        <v>6.9</v>
      </c>
      <c r="BM63">
        <v>6.9</v>
      </c>
    </row>
    <row r="64" spans="5:65" hidden="1" x14ac:dyDescent="0.2">
      <c r="G64" t="s">
        <v>35</v>
      </c>
      <c r="H64">
        <v>6.3</v>
      </c>
      <c r="I64">
        <v>6.8</v>
      </c>
      <c r="J64">
        <v>6.47</v>
      </c>
      <c r="K64">
        <v>7</v>
      </c>
      <c r="L64">
        <v>6.45</v>
      </c>
      <c r="M64">
        <v>7</v>
      </c>
      <c r="N64">
        <v>6.85</v>
      </c>
      <c r="O64">
        <v>7.5</v>
      </c>
      <c r="Q64" t="s">
        <v>35</v>
      </c>
      <c r="R64">
        <v>6.3</v>
      </c>
      <c r="S64">
        <v>6.5</v>
      </c>
      <c r="T64">
        <v>6.3</v>
      </c>
      <c r="U64">
        <v>6.3</v>
      </c>
      <c r="V64">
        <v>6.15</v>
      </c>
      <c r="W64">
        <v>6.15</v>
      </c>
      <c r="X64">
        <v>5.95</v>
      </c>
      <c r="Y64">
        <v>5.95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L64">
        <v>6.6</v>
      </c>
      <c r="AM64">
        <v>6.6</v>
      </c>
      <c r="AN64">
        <v>7.4</v>
      </c>
      <c r="AO64">
        <v>7.8</v>
      </c>
      <c r="AP64">
        <v>7.45</v>
      </c>
      <c r="AQ64">
        <v>7.65</v>
      </c>
      <c r="AR64">
        <v>7.35</v>
      </c>
      <c r="AS64">
        <v>7.45</v>
      </c>
      <c r="AU64" t="s">
        <v>35</v>
      </c>
      <c r="AV64">
        <v>8.4</v>
      </c>
      <c r="AW64">
        <v>9.1999999999999993</v>
      </c>
      <c r="AX64">
        <v>8.6</v>
      </c>
      <c r="AY64">
        <v>99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  <c r="BF64">
        <v>7.45</v>
      </c>
      <c r="BG64">
        <v>7.45</v>
      </c>
      <c r="BH64">
        <v>7.25</v>
      </c>
      <c r="BI64">
        <v>7.25</v>
      </c>
      <c r="BJ64">
        <v>7.1</v>
      </c>
      <c r="BK64">
        <v>7.1</v>
      </c>
      <c r="BL64">
        <v>6.9</v>
      </c>
      <c r="BM64">
        <v>6.9</v>
      </c>
    </row>
    <row r="65" spans="7:65" hidden="1" x14ac:dyDescent="0.2">
      <c r="G65" t="s">
        <v>36</v>
      </c>
      <c r="H65">
        <v>5.95</v>
      </c>
      <c r="I65">
        <v>6.5</v>
      </c>
      <c r="J65">
        <v>6.2</v>
      </c>
      <c r="K65">
        <v>6.75</v>
      </c>
      <c r="L65">
        <v>6.4</v>
      </c>
      <c r="M65">
        <v>7</v>
      </c>
      <c r="N65">
        <v>6.6</v>
      </c>
      <c r="O65">
        <v>7.2</v>
      </c>
      <c r="Q65" t="s">
        <v>36</v>
      </c>
      <c r="R65">
        <v>6</v>
      </c>
      <c r="S65">
        <v>6.5</v>
      </c>
      <c r="T65">
        <v>6.3</v>
      </c>
      <c r="U65">
        <v>6.3</v>
      </c>
      <c r="V65">
        <v>6.15</v>
      </c>
      <c r="W65">
        <v>6.15</v>
      </c>
      <c r="X65">
        <v>5.95</v>
      </c>
      <c r="Y65">
        <v>5.95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L65">
        <v>6.6</v>
      </c>
      <c r="AM65">
        <v>6.6</v>
      </c>
      <c r="AN65">
        <v>7.2</v>
      </c>
      <c r="AO65">
        <v>7.55</v>
      </c>
      <c r="AP65">
        <v>7.25</v>
      </c>
      <c r="AQ65">
        <v>7.65</v>
      </c>
      <c r="AR65">
        <v>7.15</v>
      </c>
      <c r="AS65">
        <v>7.45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  <c r="BF65">
        <v>7.3</v>
      </c>
      <c r="BG65">
        <v>7.45</v>
      </c>
      <c r="BH65">
        <v>7.15</v>
      </c>
      <c r="BI65">
        <v>7.25</v>
      </c>
      <c r="BJ65">
        <v>7</v>
      </c>
      <c r="BK65">
        <v>7.1</v>
      </c>
      <c r="BL65">
        <v>6.9</v>
      </c>
      <c r="BM65">
        <v>6.9</v>
      </c>
    </row>
    <row r="66" spans="7:65" hidden="1" x14ac:dyDescent="0.2">
      <c r="G66" t="s">
        <v>37</v>
      </c>
      <c r="H66">
        <v>5.7</v>
      </c>
      <c r="I66">
        <v>6.3</v>
      </c>
      <c r="J66">
        <v>5.95</v>
      </c>
      <c r="K66">
        <v>6.5</v>
      </c>
      <c r="L66">
        <v>6.15</v>
      </c>
      <c r="M66">
        <v>6.75</v>
      </c>
      <c r="N66">
        <v>6.35</v>
      </c>
      <c r="O66">
        <v>7</v>
      </c>
      <c r="Q66" t="s">
        <v>37</v>
      </c>
      <c r="R66">
        <v>5.7</v>
      </c>
      <c r="S66">
        <v>6.3</v>
      </c>
      <c r="T66">
        <f>0.2+R66</f>
        <v>5.9</v>
      </c>
      <c r="U66">
        <v>6.3</v>
      </c>
      <c r="V66">
        <v>6.15</v>
      </c>
      <c r="W66">
        <v>6.15</v>
      </c>
      <c r="X66">
        <v>5.95</v>
      </c>
      <c r="Y66">
        <v>5.95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L66">
        <v>6.6</v>
      </c>
      <c r="AM66">
        <v>6.6</v>
      </c>
      <c r="AN66">
        <v>7</v>
      </c>
      <c r="AO66">
        <v>7.35</v>
      </c>
      <c r="AP66">
        <v>7.05</v>
      </c>
      <c r="AQ66">
        <v>7.45</v>
      </c>
      <c r="AR66">
        <v>7</v>
      </c>
      <c r="AS66">
        <v>7.35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  <c r="BF66">
        <v>7.15</v>
      </c>
      <c r="BG66">
        <v>7.45</v>
      </c>
      <c r="BH66">
        <v>7</v>
      </c>
      <c r="BI66">
        <v>7.25</v>
      </c>
      <c r="BJ66">
        <v>6.9</v>
      </c>
      <c r="BK66">
        <v>7.1</v>
      </c>
      <c r="BL66">
        <v>6.8</v>
      </c>
      <c r="BM66">
        <v>6.9</v>
      </c>
    </row>
    <row r="67" spans="7:65" hidden="1" x14ac:dyDescent="0.2">
      <c r="G67" t="s">
        <v>80</v>
      </c>
      <c r="H67">
        <v>5.5</v>
      </c>
      <c r="I67">
        <v>6.05</v>
      </c>
      <c r="J67">
        <f t="shared" ref="J67:J74" si="7">0.2+H67</f>
        <v>5.7</v>
      </c>
      <c r="K67">
        <v>6.3</v>
      </c>
      <c r="L67">
        <v>5.95</v>
      </c>
      <c r="M67">
        <v>6.55</v>
      </c>
      <c r="N67">
        <v>6.15</v>
      </c>
      <c r="O67">
        <v>6.75</v>
      </c>
      <c r="Q67" t="s">
        <v>80</v>
      </c>
      <c r="R67">
        <v>5.5</v>
      </c>
      <c r="S67">
        <v>6.05</v>
      </c>
      <c r="T67">
        <f t="shared" ref="T67:T82" si="8">0.2+R67</f>
        <v>5.7</v>
      </c>
      <c r="U67">
        <v>6.2</v>
      </c>
      <c r="V67">
        <v>5.85</v>
      </c>
      <c r="W67">
        <v>6.15</v>
      </c>
      <c r="X67">
        <v>5.95</v>
      </c>
      <c r="Y67">
        <v>5.95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L67">
        <v>6.15</v>
      </c>
      <c r="AM67">
        <v>6.45</v>
      </c>
      <c r="AN67">
        <v>6.75</v>
      </c>
      <c r="AO67">
        <v>7.15</v>
      </c>
      <c r="AP67">
        <v>6.85</v>
      </c>
      <c r="AQ67">
        <v>7.25</v>
      </c>
      <c r="AR67">
        <v>6.8</v>
      </c>
      <c r="AS67">
        <v>7.15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  <c r="BF67">
        <v>6.95</v>
      </c>
      <c r="BG67">
        <v>7.35</v>
      </c>
      <c r="BH67">
        <v>6.85</v>
      </c>
      <c r="BI67">
        <v>7.25</v>
      </c>
      <c r="BJ67">
        <v>6.75</v>
      </c>
      <c r="BK67">
        <v>7.1</v>
      </c>
      <c r="BL67">
        <v>6.65</v>
      </c>
      <c r="BM67">
        <v>6.9</v>
      </c>
    </row>
    <row r="68" spans="7:65" hidden="1" x14ac:dyDescent="0.2">
      <c r="G68" t="s">
        <v>38</v>
      </c>
      <c r="H68">
        <v>5.15</v>
      </c>
      <c r="I68">
        <v>5.7</v>
      </c>
      <c r="J68">
        <f t="shared" si="7"/>
        <v>5.3500000000000005</v>
      </c>
      <c r="K68">
        <v>5.9</v>
      </c>
      <c r="L68">
        <v>5.6</v>
      </c>
      <c r="M68">
        <v>6.15</v>
      </c>
      <c r="N68">
        <v>5.8</v>
      </c>
      <c r="O68">
        <v>6.4</v>
      </c>
      <c r="Q68" t="s">
        <v>38</v>
      </c>
      <c r="R68">
        <v>5.15</v>
      </c>
      <c r="S68">
        <v>5.7</v>
      </c>
      <c r="T68">
        <f t="shared" si="8"/>
        <v>5.3500000000000005</v>
      </c>
      <c r="U68">
        <v>5.9</v>
      </c>
      <c r="V68">
        <v>5.6</v>
      </c>
      <c r="W68">
        <v>5.9</v>
      </c>
      <c r="X68">
        <v>5.55</v>
      </c>
      <c r="Y68">
        <v>5.85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L68">
        <v>5.85</v>
      </c>
      <c r="AM68">
        <v>6.15</v>
      </c>
      <c r="AN68">
        <v>6.35</v>
      </c>
      <c r="AO68">
        <v>6.8</v>
      </c>
      <c r="AP68">
        <v>6.5</v>
      </c>
      <c r="AQ68">
        <v>6.9</v>
      </c>
      <c r="AR68">
        <v>6.5</v>
      </c>
      <c r="AS68">
        <v>6.85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  <c r="BF68">
        <v>6.7</v>
      </c>
      <c r="BG68">
        <v>7.05</v>
      </c>
      <c r="BH68">
        <v>6.6</v>
      </c>
      <c r="BI68">
        <v>7</v>
      </c>
      <c r="BJ68">
        <v>6.5</v>
      </c>
      <c r="BK68">
        <v>6.9</v>
      </c>
      <c r="BL68">
        <v>6.45</v>
      </c>
      <c r="BM68">
        <v>6.8</v>
      </c>
    </row>
    <row r="69" spans="7:65" hidden="1" x14ac:dyDescent="0.2">
      <c r="G69" t="s">
        <v>39</v>
      </c>
      <c r="H69">
        <v>4.8499999999999996</v>
      </c>
      <c r="I69">
        <v>5.4</v>
      </c>
      <c r="J69">
        <v>5.0999999999999996</v>
      </c>
      <c r="K69">
        <v>5.65</v>
      </c>
      <c r="L69">
        <v>5.3</v>
      </c>
      <c r="M69">
        <v>5.85</v>
      </c>
      <c r="N69">
        <v>5.5</v>
      </c>
      <c r="O69">
        <v>6.1</v>
      </c>
      <c r="Q69" t="s">
        <v>39</v>
      </c>
      <c r="R69">
        <v>4.8499999999999996</v>
      </c>
      <c r="S69">
        <v>5.2</v>
      </c>
      <c r="T69">
        <f t="shared" si="8"/>
        <v>5.05</v>
      </c>
      <c r="U69">
        <v>5.5</v>
      </c>
      <c r="V69">
        <v>5.3</v>
      </c>
      <c r="W69">
        <v>5.65</v>
      </c>
      <c r="X69">
        <v>5.35</v>
      </c>
      <c r="Y69">
        <v>5.65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L69">
        <v>5.55</v>
      </c>
      <c r="AM69">
        <v>5.92</v>
      </c>
      <c r="AN69">
        <v>6</v>
      </c>
      <c r="AO69">
        <v>6.45</v>
      </c>
      <c r="AP69">
        <v>6.15</v>
      </c>
      <c r="AQ69">
        <v>6.55</v>
      </c>
      <c r="AR69">
        <v>6.2</v>
      </c>
      <c r="AS69">
        <v>6.55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  <c r="BF69">
        <v>6.4</v>
      </c>
      <c r="BG69">
        <v>6.75</v>
      </c>
      <c r="BH69">
        <v>6.35</v>
      </c>
      <c r="BI69">
        <v>6.7</v>
      </c>
      <c r="BJ69">
        <v>6.3</v>
      </c>
      <c r="BK69">
        <v>6.65</v>
      </c>
      <c r="BL69">
        <v>6.25</v>
      </c>
      <c r="BM69">
        <v>6.6</v>
      </c>
    </row>
    <row r="70" spans="7:65" hidden="1" x14ac:dyDescent="0.2">
      <c r="G70" t="s">
        <v>162</v>
      </c>
      <c r="H70">
        <v>6.45</v>
      </c>
      <c r="I70">
        <v>6.8</v>
      </c>
      <c r="J70">
        <v>6.7</v>
      </c>
      <c r="K70">
        <v>7.05</v>
      </c>
      <c r="L70">
        <v>6.9</v>
      </c>
      <c r="M70">
        <v>7.3</v>
      </c>
      <c r="N70">
        <v>7.1</v>
      </c>
      <c r="O70">
        <v>7.5</v>
      </c>
      <c r="Q70" t="s">
        <v>162</v>
      </c>
      <c r="R70">
        <v>6.5</v>
      </c>
      <c r="S70">
        <v>6.8</v>
      </c>
      <c r="T70">
        <v>6.3</v>
      </c>
      <c r="U70">
        <v>6.3</v>
      </c>
      <c r="V70">
        <v>6.4</v>
      </c>
      <c r="W70">
        <v>6.4</v>
      </c>
      <c r="X70">
        <v>6.25</v>
      </c>
      <c r="Y70">
        <v>6.25</v>
      </c>
      <c r="AA70" t="s">
        <v>162</v>
      </c>
      <c r="AB70">
        <v>7.35</v>
      </c>
      <c r="AC70">
        <v>7.8</v>
      </c>
      <c r="AD70">
        <v>7.85</v>
      </c>
      <c r="AE70">
        <v>8.3000000000000007</v>
      </c>
      <c r="AF70">
        <v>8</v>
      </c>
      <c r="AG70">
        <v>8.5</v>
      </c>
      <c r="AH70">
        <v>8.15</v>
      </c>
      <c r="AI70">
        <v>8.6999999999999993</v>
      </c>
      <c r="AK70" t="s">
        <v>162</v>
      </c>
      <c r="AL70">
        <v>6.6</v>
      </c>
      <c r="AM70">
        <v>6.6</v>
      </c>
      <c r="AN70">
        <v>7.4</v>
      </c>
      <c r="AO70">
        <v>7.8</v>
      </c>
      <c r="AP70">
        <v>7.5</v>
      </c>
      <c r="AQ70">
        <v>7.65</v>
      </c>
      <c r="AR70">
        <v>7.45</v>
      </c>
      <c r="AS70">
        <v>7.45</v>
      </c>
      <c r="AU70" t="s">
        <v>162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162</v>
      </c>
      <c r="BF70">
        <v>7.45</v>
      </c>
      <c r="BG70">
        <v>7.45</v>
      </c>
      <c r="BH70">
        <v>7.25</v>
      </c>
      <c r="BI70">
        <v>7.25</v>
      </c>
      <c r="BJ70">
        <v>7.1</v>
      </c>
      <c r="BK70">
        <v>7.1</v>
      </c>
      <c r="BL70">
        <v>6.9</v>
      </c>
      <c r="BM70">
        <v>6.9</v>
      </c>
    </row>
    <row r="71" spans="7:65" hidden="1" x14ac:dyDescent="0.2">
      <c r="G71" t="s">
        <v>40</v>
      </c>
      <c r="H71">
        <v>6.15</v>
      </c>
      <c r="I71">
        <v>6.5</v>
      </c>
      <c r="J71">
        <f t="shared" si="7"/>
        <v>6.3500000000000005</v>
      </c>
      <c r="K71">
        <v>6.75</v>
      </c>
      <c r="L71">
        <v>6.55</v>
      </c>
      <c r="M71">
        <v>7</v>
      </c>
      <c r="N71">
        <v>6.8</v>
      </c>
      <c r="O71">
        <v>7.25</v>
      </c>
      <c r="Q71" t="s">
        <v>40</v>
      </c>
      <c r="R71">
        <v>6.2</v>
      </c>
      <c r="S71">
        <v>6.55</v>
      </c>
      <c r="T71">
        <v>6.3</v>
      </c>
      <c r="U71">
        <v>6.3</v>
      </c>
      <c r="V71">
        <v>6.15</v>
      </c>
      <c r="W71">
        <v>6.15</v>
      </c>
      <c r="X71">
        <v>5.95</v>
      </c>
      <c r="Y71">
        <v>5.95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L71">
        <v>6.4</v>
      </c>
      <c r="AM71">
        <v>6.6</v>
      </c>
      <c r="AN71">
        <v>7.2</v>
      </c>
      <c r="AO71">
        <v>7.55</v>
      </c>
      <c r="AP71">
        <v>7.25</v>
      </c>
      <c r="AQ71">
        <v>7.65</v>
      </c>
      <c r="AR71">
        <v>7.2</v>
      </c>
      <c r="AS71">
        <v>7.45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  <c r="BF71">
        <v>7.4</v>
      </c>
      <c r="BG71">
        <v>7.45</v>
      </c>
      <c r="BH71">
        <v>7.25</v>
      </c>
      <c r="BI71">
        <v>7.25</v>
      </c>
      <c r="BJ71">
        <v>7.1</v>
      </c>
      <c r="BK71">
        <v>7.1</v>
      </c>
      <c r="BL71">
        <v>6.9</v>
      </c>
      <c r="BM71">
        <v>6.9</v>
      </c>
    </row>
    <row r="72" spans="7:65" hidden="1" x14ac:dyDescent="0.2">
      <c r="G72" t="s">
        <v>41</v>
      </c>
      <c r="H72">
        <v>5.9</v>
      </c>
      <c r="I72">
        <v>6.25</v>
      </c>
      <c r="J72">
        <f t="shared" si="7"/>
        <v>6.1000000000000005</v>
      </c>
      <c r="K72">
        <v>6.5</v>
      </c>
      <c r="L72">
        <v>6.3</v>
      </c>
      <c r="M72">
        <v>6.75</v>
      </c>
      <c r="N72">
        <v>6.5</v>
      </c>
      <c r="O72">
        <v>7</v>
      </c>
      <c r="Q72" t="s">
        <v>41</v>
      </c>
      <c r="R72">
        <v>5.9</v>
      </c>
      <c r="S72">
        <v>6.3</v>
      </c>
      <c r="T72">
        <f t="shared" si="8"/>
        <v>6.1000000000000005</v>
      </c>
      <c r="U72">
        <v>6.3</v>
      </c>
      <c r="V72">
        <v>6</v>
      </c>
      <c r="W72">
        <v>6.15</v>
      </c>
      <c r="X72">
        <v>5.9</v>
      </c>
      <c r="Y72">
        <v>5.95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L72">
        <v>6.25</v>
      </c>
      <c r="AM72">
        <v>6.6</v>
      </c>
      <c r="AN72">
        <v>7</v>
      </c>
      <c r="AO72">
        <v>7.35</v>
      </c>
      <c r="AP72">
        <v>7.05</v>
      </c>
      <c r="AQ72">
        <v>7.45</v>
      </c>
      <c r="AR72">
        <v>7.05</v>
      </c>
      <c r="AS72">
        <v>7.4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  <c r="BF72">
        <v>7.2</v>
      </c>
      <c r="BG72">
        <v>7.45</v>
      </c>
      <c r="BH72">
        <v>7.1</v>
      </c>
      <c r="BI72">
        <v>7.25</v>
      </c>
      <c r="BJ72">
        <v>7.05</v>
      </c>
      <c r="BK72">
        <v>7.1</v>
      </c>
      <c r="BL72">
        <v>6.9</v>
      </c>
      <c r="BM72">
        <v>6.9</v>
      </c>
    </row>
    <row r="73" spans="7:65" hidden="1" x14ac:dyDescent="0.2">
      <c r="G73" t="s">
        <v>42</v>
      </c>
      <c r="H73">
        <v>5.65</v>
      </c>
      <c r="I73">
        <v>6.05</v>
      </c>
      <c r="J73">
        <f t="shared" si="7"/>
        <v>5.8500000000000005</v>
      </c>
      <c r="K73">
        <v>6.3</v>
      </c>
      <c r="L73">
        <v>6.1</v>
      </c>
      <c r="M73">
        <v>6.55</v>
      </c>
      <c r="N73">
        <v>6.3</v>
      </c>
      <c r="O73">
        <v>6.75</v>
      </c>
      <c r="Q73" t="s">
        <v>42</v>
      </c>
      <c r="R73">
        <v>5.65</v>
      </c>
      <c r="S73">
        <v>6.05</v>
      </c>
      <c r="T73">
        <f t="shared" si="8"/>
        <v>5.8500000000000005</v>
      </c>
      <c r="U73">
        <v>6.2</v>
      </c>
      <c r="V73">
        <v>5.85</v>
      </c>
      <c r="W73">
        <v>6.15</v>
      </c>
      <c r="X73">
        <v>5.8</v>
      </c>
      <c r="Y73">
        <v>5.95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L73">
        <v>6.15</v>
      </c>
      <c r="AM73">
        <v>6.75</v>
      </c>
      <c r="AN73">
        <v>6.8</v>
      </c>
      <c r="AO73">
        <v>7.2</v>
      </c>
      <c r="AP73">
        <v>6.9</v>
      </c>
      <c r="AQ73">
        <v>7.3</v>
      </c>
      <c r="AR73">
        <v>6.85</v>
      </c>
      <c r="AS73">
        <v>7.25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  <c r="BF73">
        <v>7.05</v>
      </c>
      <c r="BG73">
        <v>7.45</v>
      </c>
      <c r="BH73">
        <v>7</v>
      </c>
      <c r="BI73">
        <v>7.25</v>
      </c>
      <c r="BJ73">
        <v>6.9</v>
      </c>
      <c r="BK73">
        <v>7.1</v>
      </c>
      <c r="BL73">
        <v>6.8</v>
      </c>
      <c r="BM73">
        <v>6.9</v>
      </c>
    </row>
    <row r="74" spans="7:65" hidden="1" x14ac:dyDescent="0.2">
      <c r="G74" t="s">
        <v>43</v>
      </c>
      <c r="H74">
        <v>5.45</v>
      </c>
      <c r="I74">
        <v>5.85</v>
      </c>
      <c r="J74">
        <f t="shared" si="7"/>
        <v>5.65</v>
      </c>
      <c r="K74">
        <v>6.1</v>
      </c>
      <c r="L74">
        <v>5.9</v>
      </c>
      <c r="M74">
        <v>6.35</v>
      </c>
      <c r="N74">
        <v>6.1</v>
      </c>
      <c r="O74">
        <v>6.55</v>
      </c>
      <c r="Q74" t="s">
        <v>43</v>
      </c>
      <c r="R74">
        <v>5.45</v>
      </c>
      <c r="S74">
        <v>5.85</v>
      </c>
      <c r="T74">
        <f t="shared" si="8"/>
        <v>5.65</v>
      </c>
      <c r="U74">
        <v>6.05</v>
      </c>
      <c r="V74">
        <v>5.75</v>
      </c>
      <c r="W74">
        <v>6.05</v>
      </c>
      <c r="X74">
        <v>5.7</v>
      </c>
      <c r="Y74">
        <v>6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L74">
        <v>6</v>
      </c>
      <c r="AM74">
        <v>6.3</v>
      </c>
      <c r="AN74">
        <v>6.65</v>
      </c>
      <c r="AO74">
        <v>7</v>
      </c>
      <c r="AP74">
        <v>6.75</v>
      </c>
      <c r="AQ74">
        <v>7.1</v>
      </c>
      <c r="AR74">
        <v>6.7</v>
      </c>
      <c r="AS74">
        <v>7.1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  <c r="BF74">
        <v>6.95</v>
      </c>
      <c r="BG74">
        <v>7.3</v>
      </c>
      <c r="BH74">
        <v>6.9</v>
      </c>
      <c r="BI74">
        <v>7.25</v>
      </c>
      <c r="BJ74">
        <v>6.8</v>
      </c>
      <c r="BK74">
        <v>7.1</v>
      </c>
      <c r="BL74">
        <v>6.7</v>
      </c>
      <c r="BM74">
        <v>6.9</v>
      </c>
    </row>
    <row r="75" spans="7:65" hidden="1" x14ac:dyDescent="0.2">
      <c r="G75" t="s">
        <v>81</v>
      </c>
      <c r="H75">
        <v>5.25</v>
      </c>
      <c r="I75">
        <v>5.7</v>
      </c>
      <c r="J75">
        <v>5.5</v>
      </c>
      <c r="K75">
        <v>5.9</v>
      </c>
      <c r="L75">
        <v>5.7</v>
      </c>
      <c r="M75">
        <v>6.15</v>
      </c>
      <c r="N75">
        <v>5.9</v>
      </c>
      <c r="O75">
        <v>6.4</v>
      </c>
      <c r="Q75" t="s">
        <v>81</v>
      </c>
      <c r="R75">
        <v>5.25</v>
      </c>
      <c r="S75">
        <v>5.7</v>
      </c>
      <c r="T75">
        <v>5.5</v>
      </c>
      <c r="U75">
        <v>5.9</v>
      </c>
      <c r="V75">
        <v>5.6</v>
      </c>
      <c r="W75">
        <v>5.9</v>
      </c>
      <c r="X75">
        <v>5.6</v>
      </c>
      <c r="Y75">
        <v>5.9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L75">
        <v>5.85</v>
      </c>
      <c r="AM75">
        <v>6.15</v>
      </c>
      <c r="AN75">
        <v>6.45</v>
      </c>
      <c r="AO75">
        <v>6.85</v>
      </c>
      <c r="AP75">
        <v>6.6</v>
      </c>
      <c r="AQ75">
        <v>6.95</v>
      </c>
      <c r="AR75">
        <v>6.6</v>
      </c>
      <c r="AS75">
        <v>6.95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  <c r="BF75">
        <v>6.8</v>
      </c>
      <c r="BG75">
        <v>7.15</v>
      </c>
      <c r="BH75">
        <v>6.75</v>
      </c>
      <c r="BI75">
        <v>7.1</v>
      </c>
      <c r="BJ75">
        <v>6.7</v>
      </c>
      <c r="BK75">
        <v>7.1</v>
      </c>
      <c r="BL75">
        <v>6.6</v>
      </c>
      <c r="BM75">
        <v>6.9</v>
      </c>
    </row>
    <row r="76" spans="7:65" hidden="1" x14ac:dyDescent="0.2">
      <c r="G76" t="s">
        <v>44</v>
      </c>
      <c r="H76">
        <v>4.95</v>
      </c>
      <c r="I76">
        <v>5.15</v>
      </c>
      <c r="J76">
        <f t="shared" ref="J76" si="9">0.2+H76</f>
        <v>5.15</v>
      </c>
      <c r="K76">
        <v>5.65</v>
      </c>
      <c r="L76">
        <v>5.4</v>
      </c>
      <c r="M76">
        <v>5.9</v>
      </c>
      <c r="N76">
        <v>5.6</v>
      </c>
      <c r="O76">
        <v>6.1</v>
      </c>
      <c r="Q76" t="s">
        <v>44</v>
      </c>
      <c r="R76">
        <v>4.95</v>
      </c>
      <c r="S76">
        <v>5.15</v>
      </c>
      <c r="T76">
        <f t="shared" si="8"/>
        <v>5.15</v>
      </c>
      <c r="U76">
        <v>5.45</v>
      </c>
      <c r="V76">
        <v>5.4</v>
      </c>
      <c r="W76">
        <v>5.7</v>
      </c>
      <c r="X76">
        <v>5.4</v>
      </c>
      <c r="Y76">
        <v>5.7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L76">
        <v>5.65</v>
      </c>
      <c r="AM76">
        <v>5.95</v>
      </c>
      <c r="AN76">
        <v>6.1</v>
      </c>
      <c r="AO76">
        <v>6.55</v>
      </c>
      <c r="AP76">
        <v>6.25</v>
      </c>
      <c r="AQ76">
        <v>6.65</v>
      </c>
      <c r="AR76">
        <v>6.3</v>
      </c>
      <c r="AS76">
        <v>6.65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  <c r="BF76">
        <v>6.55</v>
      </c>
      <c r="BG76">
        <v>6.9</v>
      </c>
      <c r="BH76">
        <v>6.55</v>
      </c>
      <c r="BI76">
        <v>6.9</v>
      </c>
      <c r="BJ76">
        <v>6.45</v>
      </c>
      <c r="BK76">
        <v>6.8</v>
      </c>
      <c r="BL76">
        <v>6.4</v>
      </c>
      <c r="BM76">
        <v>6.75</v>
      </c>
    </row>
    <row r="77" spans="7:65" hidden="1" x14ac:dyDescent="0.2">
      <c r="G77" t="s">
        <v>67</v>
      </c>
      <c r="H77">
        <v>4.7</v>
      </c>
      <c r="I77">
        <v>5.15</v>
      </c>
      <c r="J77">
        <v>4.95</v>
      </c>
      <c r="K77">
        <v>5.4</v>
      </c>
      <c r="L77">
        <v>5.15</v>
      </c>
      <c r="M77">
        <v>5.6</v>
      </c>
      <c r="N77">
        <v>5.35</v>
      </c>
      <c r="O77">
        <v>5.85</v>
      </c>
      <c r="Q77" t="s">
        <v>67</v>
      </c>
      <c r="R77">
        <v>4.5999999999999996</v>
      </c>
      <c r="S77">
        <v>4.5999999999999996</v>
      </c>
      <c r="T77">
        <v>4.9000000000000004</v>
      </c>
      <c r="U77">
        <v>5.3</v>
      </c>
      <c r="V77">
        <v>5.0999999999999996</v>
      </c>
      <c r="W77">
        <v>5.2</v>
      </c>
      <c r="X77">
        <v>5.2</v>
      </c>
      <c r="Y77">
        <v>5.5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L77">
        <v>5.4</v>
      </c>
      <c r="AM77">
        <v>5.75</v>
      </c>
      <c r="AN77">
        <v>5.85</v>
      </c>
      <c r="AO77">
        <v>6.3</v>
      </c>
      <c r="AP77">
        <v>6</v>
      </c>
      <c r="AQ77">
        <v>6.4</v>
      </c>
      <c r="AR77">
        <v>6.1</v>
      </c>
      <c r="AS77">
        <v>6.4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  <c r="BF77">
        <v>6.35</v>
      </c>
      <c r="BG77">
        <v>6.7</v>
      </c>
      <c r="BH77">
        <v>6.3</v>
      </c>
      <c r="BI77">
        <v>6.65</v>
      </c>
      <c r="BJ77">
        <v>6.25</v>
      </c>
      <c r="BK77">
        <v>6.6</v>
      </c>
      <c r="BL77">
        <v>6.2</v>
      </c>
      <c r="BM77">
        <v>6.55</v>
      </c>
    </row>
    <row r="78" spans="7:65" hidden="1" x14ac:dyDescent="0.2">
      <c r="G78" t="s">
        <v>163</v>
      </c>
      <c r="H78">
        <v>5.9</v>
      </c>
      <c r="I78">
        <v>6.1</v>
      </c>
      <c r="J78">
        <v>6.1</v>
      </c>
      <c r="K78">
        <v>6.35</v>
      </c>
      <c r="L78">
        <v>6.3</v>
      </c>
      <c r="M78">
        <v>6.6</v>
      </c>
      <c r="N78">
        <v>6.55</v>
      </c>
      <c r="O78">
        <v>6.8</v>
      </c>
      <c r="Q78" t="s">
        <v>163</v>
      </c>
      <c r="R78">
        <v>5.9</v>
      </c>
      <c r="S78">
        <v>6.1</v>
      </c>
      <c r="T78">
        <v>5.9</v>
      </c>
      <c r="U78">
        <v>6.2</v>
      </c>
      <c r="V78">
        <v>5.9</v>
      </c>
      <c r="W78">
        <v>6.2</v>
      </c>
      <c r="X78">
        <v>5.8</v>
      </c>
      <c r="Y78">
        <v>5.95</v>
      </c>
      <c r="AA78" t="s">
        <v>163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163</v>
      </c>
      <c r="AL78">
        <v>6.15</v>
      </c>
      <c r="AM78">
        <v>6.45</v>
      </c>
      <c r="AN78">
        <v>6.8</v>
      </c>
      <c r="AO78">
        <v>7.2</v>
      </c>
      <c r="AP78">
        <v>6.9</v>
      </c>
      <c r="AQ78">
        <v>7.3</v>
      </c>
      <c r="AR78">
        <v>6.95</v>
      </c>
      <c r="AS78">
        <v>7.25</v>
      </c>
      <c r="AU78" t="s">
        <v>163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8.9499999999999993</v>
      </c>
      <c r="BE78" t="s">
        <v>163</v>
      </c>
      <c r="BF78">
        <v>7.05</v>
      </c>
      <c r="BG78">
        <v>7.45</v>
      </c>
      <c r="BH78">
        <v>7</v>
      </c>
      <c r="BI78">
        <v>7.25</v>
      </c>
      <c r="BJ78">
        <v>6.9</v>
      </c>
      <c r="BK78">
        <v>7.1</v>
      </c>
      <c r="BL78">
        <v>6.85</v>
      </c>
      <c r="BM78">
        <v>6.9</v>
      </c>
    </row>
    <row r="79" spans="7:65" hidden="1" x14ac:dyDescent="0.2">
      <c r="G79" t="s">
        <v>50</v>
      </c>
      <c r="H79">
        <v>5.65</v>
      </c>
      <c r="I79">
        <v>5.9</v>
      </c>
      <c r="J79">
        <f t="shared" ref="J79:J81" si="10">0.2+H79</f>
        <v>5.8500000000000005</v>
      </c>
      <c r="K79">
        <v>6.1</v>
      </c>
      <c r="L79">
        <v>6.1</v>
      </c>
      <c r="M79">
        <v>6.35</v>
      </c>
      <c r="N79">
        <v>6.3</v>
      </c>
      <c r="O79">
        <v>6.6</v>
      </c>
      <c r="Q79" t="s">
        <v>50</v>
      </c>
      <c r="R79">
        <v>5.65</v>
      </c>
      <c r="S79">
        <v>5.9</v>
      </c>
      <c r="T79">
        <f t="shared" si="8"/>
        <v>5.8500000000000005</v>
      </c>
      <c r="U79">
        <v>6.1</v>
      </c>
      <c r="V79">
        <v>5.75</v>
      </c>
      <c r="W79">
        <v>6.05</v>
      </c>
      <c r="X79">
        <v>5.7</v>
      </c>
      <c r="Y79">
        <v>6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L79">
        <v>6</v>
      </c>
      <c r="AM79">
        <v>6.3</v>
      </c>
      <c r="AN79">
        <v>6.65</v>
      </c>
      <c r="AO79">
        <v>7</v>
      </c>
      <c r="AP79">
        <v>6.75</v>
      </c>
      <c r="AQ79">
        <v>7.1</v>
      </c>
      <c r="AR79">
        <v>6.7</v>
      </c>
      <c r="AS79">
        <v>7.1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  <c r="BF79">
        <v>6.95</v>
      </c>
      <c r="BG79">
        <v>7.3</v>
      </c>
      <c r="BH79">
        <v>6.9</v>
      </c>
      <c r="BI79">
        <v>7.25</v>
      </c>
      <c r="BJ79">
        <v>6.8</v>
      </c>
      <c r="BK79">
        <v>7.1</v>
      </c>
      <c r="BL79">
        <v>6.7</v>
      </c>
      <c r="BM79">
        <v>6.9</v>
      </c>
    </row>
    <row r="80" spans="7:65" hidden="1" x14ac:dyDescent="0.2">
      <c r="G80" t="s">
        <v>76</v>
      </c>
      <c r="H80">
        <v>5.45</v>
      </c>
      <c r="I80">
        <v>5.65</v>
      </c>
      <c r="J80">
        <f t="shared" si="10"/>
        <v>5.65</v>
      </c>
      <c r="K80">
        <v>5.95</v>
      </c>
      <c r="L80">
        <v>5.9</v>
      </c>
      <c r="M80">
        <v>6.2</v>
      </c>
      <c r="N80">
        <v>6.1</v>
      </c>
      <c r="O80">
        <v>6.4</v>
      </c>
      <c r="Q80" t="s">
        <v>76</v>
      </c>
      <c r="R80">
        <v>5.45</v>
      </c>
      <c r="S80">
        <v>5.65</v>
      </c>
      <c r="T80">
        <f t="shared" si="8"/>
        <v>5.65</v>
      </c>
      <c r="U80">
        <v>5.9</v>
      </c>
      <c r="V80">
        <v>5.6</v>
      </c>
      <c r="W80">
        <v>5.9</v>
      </c>
      <c r="X80">
        <v>5.6</v>
      </c>
      <c r="Y80">
        <v>5.9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L80">
        <v>5.85</v>
      </c>
      <c r="AM80">
        <v>6.14</v>
      </c>
      <c r="AN80">
        <v>6.5</v>
      </c>
      <c r="AO80">
        <v>6.85</v>
      </c>
      <c r="AP80">
        <v>6.6</v>
      </c>
      <c r="AQ80">
        <v>6.95</v>
      </c>
      <c r="AR80">
        <v>6.6</v>
      </c>
      <c r="AS80">
        <v>6.95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  <c r="BF80">
        <v>6.8</v>
      </c>
      <c r="BG80">
        <v>7.15</v>
      </c>
      <c r="BH80">
        <v>6.75</v>
      </c>
      <c r="BI80">
        <v>7.1</v>
      </c>
      <c r="BJ80">
        <v>6.7</v>
      </c>
      <c r="BK80">
        <v>7.1</v>
      </c>
      <c r="BL80">
        <v>6.6</v>
      </c>
      <c r="BM80">
        <v>6.9</v>
      </c>
    </row>
    <row r="81" spans="5:65" hidden="1" x14ac:dyDescent="0.2">
      <c r="G81" t="s">
        <v>77</v>
      </c>
      <c r="H81">
        <v>5.3</v>
      </c>
      <c r="I81">
        <v>5.5</v>
      </c>
      <c r="J81">
        <f t="shared" si="10"/>
        <v>5.5</v>
      </c>
      <c r="K81">
        <v>5.85</v>
      </c>
      <c r="L81">
        <v>5.75</v>
      </c>
      <c r="M81">
        <v>6</v>
      </c>
      <c r="N81">
        <v>5.9</v>
      </c>
      <c r="O81">
        <v>6.25</v>
      </c>
      <c r="Q81" t="s">
        <v>77</v>
      </c>
      <c r="R81">
        <v>5.3</v>
      </c>
      <c r="S81">
        <v>5.35</v>
      </c>
      <c r="T81">
        <f t="shared" si="8"/>
        <v>5.5</v>
      </c>
      <c r="U81">
        <v>5.65</v>
      </c>
      <c r="V81">
        <v>5.5</v>
      </c>
      <c r="W81">
        <v>5.8</v>
      </c>
      <c r="X81">
        <v>5.5</v>
      </c>
      <c r="Y81">
        <v>5.75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L81">
        <v>5.75</v>
      </c>
      <c r="AM81">
        <v>6.05</v>
      </c>
      <c r="AN81">
        <v>6.35</v>
      </c>
      <c r="AO81">
        <v>6.7</v>
      </c>
      <c r="AP81">
        <v>6.45</v>
      </c>
      <c r="AQ81">
        <v>6.8</v>
      </c>
      <c r="AR81">
        <v>6.45</v>
      </c>
      <c r="AS81">
        <v>6.8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  <c r="BF81">
        <v>6.7</v>
      </c>
      <c r="BG81">
        <v>7.05</v>
      </c>
      <c r="BH81">
        <v>6.65</v>
      </c>
      <c r="BI81">
        <v>7</v>
      </c>
      <c r="BJ81">
        <v>6.6</v>
      </c>
      <c r="BK81">
        <v>6.95</v>
      </c>
      <c r="BL81">
        <v>6.55</v>
      </c>
      <c r="BM81">
        <v>6.9</v>
      </c>
    </row>
    <row r="82" spans="5:65" hidden="1" x14ac:dyDescent="0.2">
      <c r="G82" t="s">
        <v>46</v>
      </c>
      <c r="H82">
        <v>5.0999999999999996</v>
      </c>
      <c r="I82">
        <v>5.4</v>
      </c>
      <c r="J82">
        <v>5.35</v>
      </c>
      <c r="K82">
        <v>5.65</v>
      </c>
      <c r="L82">
        <v>5.55</v>
      </c>
      <c r="M82">
        <v>5.85</v>
      </c>
      <c r="N82">
        <v>5.75</v>
      </c>
      <c r="O82">
        <v>6.1</v>
      </c>
      <c r="Q82" t="s">
        <v>46</v>
      </c>
      <c r="R82">
        <v>5</v>
      </c>
      <c r="S82">
        <v>5</v>
      </c>
      <c r="T82">
        <f t="shared" si="8"/>
        <v>5.2</v>
      </c>
      <c r="U82">
        <v>5.3</v>
      </c>
      <c r="V82">
        <v>5.4</v>
      </c>
      <c r="W82">
        <v>5.65</v>
      </c>
      <c r="X82">
        <v>5.4</v>
      </c>
      <c r="Y82">
        <v>5.7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L82">
        <v>5.65</v>
      </c>
      <c r="AM82">
        <v>5.95</v>
      </c>
      <c r="AN82">
        <v>6.2</v>
      </c>
      <c r="AO82">
        <v>6.55</v>
      </c>
      <c r="AP82">
        <v>6.3</v>
      </c>
      <c r="AQ82">
        <v>6.65</v>
      </c>
      <c r="AR82">
        <v>6.3</v>
      </c>
      <c r="AS82">
        <v>6.65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  <c r="BF82">
        <v>6.55</v>
      </c>
      <c r="BG82">
        <v>6.9</v>
      </c>
      <c r="BH82">
        <v>6.55</v>
      </c>
      <c r="BI82">
        <v>6.9</v>
      </c>
      <c r="BJ82">
        <v>6.5</v>
      </c>
      <c r="BK82">
        <v>6.85</v>
      </c>
      <c r="BL82">
        <v>6.45</v>
      </c>
      <c r="BM82">
        <v>6</v>
      </c>
    </row>
    <row r="83" spans="5:65" hidden="1" x14ac:dyDescent="0.2">
      <c r="G83" t="s">
        <v>82</v>
      </c>
      <c r="H83">
        <v>4.95</v>
      </c>
      <c r="I83">
        <v>5.25</v>
      </c>
      <c r="J83">
        <v>5.2</v>
      </c>
      <c r="K83">
        <v>5.5</v>
      </c>
      <c r="L83">
        <v>5.4</v>
      </c>
      <c r="M83">
        <v>5.75</v>
      </c>
      <c r="N83">
        <v>5.6</v>
      </c>
      <c r="O83">
        <v>5.95</v>
      </c>
      <c r="Q83" t="s">
        <v>82</v>
      </c>
      <c r="R83">
        <v>4.75</v>
      </c>
      <c r="S83">
        <v>4.75</v>
      </c>
      <c r="T83">
        <v>5.05</v>
      </c>
      <c r="U83">
        <v>5.05</v>
      </c>
      <c r="V83">
        <v>5.6</v>
      </c>
      <c r="W83">
        <v>5.35</v>
      </c>
      <c r="X83">
        <v>5.3</v>
      </c>
      <c r="Y83">
        <v>5.6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L83">
        <v>5.55</v>
      </c>
      <c r="AM83">
        <v>5.84</v>
      </c>
      <c r="AN83">
        <v>6.1</v>
      </c>
      <c r="AO83">
        <v>6.4</v>
      </c>
      <c r="AP83">
        <v>6.2</v>
      </c>
      <c r="AQ83">
        <v>6.5</v>
      </c>
      <c r="AR83">
        <v>6.2</v>
      </c>
      <c r="AS83">
        <v>6.55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  <c r="BF83">
        <v>6.45</v>
      </c>
      <c r="BG83">
        <v>6.8</v>
      </c>
      <c r="BH83">
        <v>6.4</v>
      </c>
      <c r="BI83">
        <v>6.8</v>
      </c>
      <c r="BJ83">
        <v>6.4</v>
      </c>
      <c r="BK83">
        <v>6.75</v>
      </c>
      <c r="BL83">
        <v>6.35</v>
      </c>
      <c r="BM83">
        <v>6.7</v>
      </c>
    </row>
    <row r="84" spans="5:65" hidden="1" x14ac:dyDescent="0.2">
      <c r="G84" t="s">
        <v>45</v>
      </c>
      <c r="H84">
        <v>4.75</v>
      </c>
      <c r="I84">
        <v>4.75</v>
      </c>
      <c r="J84">
        <v>4.95</v>
      </c>
      <c r="K84">
        <v>5.3</v>
      </c>
      <c r="L84">
        <v>5.15</v>
      </c>
      <c r="M84">
        <v>5.45</v>
      </c>
      <c r="N84">
        <v>5.35</v>
      </c>
      <c r="O84">
        <v>5.65</v>
      </c>
      <c r="Q84" t="s">
        <v>45</v>
      </c>
      <c r="R84">
        <v>4.3</v>
      </c>
      <c r="S84">
        <v>4.3</v>
      </c>
      <c r="T84">
        <v>4.5999999999999996</v>
      </c>
      <c r="U84">
        <v>4.5999999999999996</v>
      </c>
      <c r="V84">
        <v>4.9000000000000004</v>
      </c>
      <c r="W84">
        <v>4.9000000000000004</v>
      </c>
      <c r="X84">
        <v>5.0999999999999996</v>
      </c>
      <c r="Y84">
        <v>5.15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L84">
        <v>5.35</v>
      </c>
      <c r="AM84">
        <v>5.35</v>
      </c>
      <c r="AN84">
        <v>5.85</v>
      </c>
      <c r="AO84">
        <v>6.15</v>
      </c>
      <c r="AP84">
        <v>5.95</v>
      </c>
      <c r="AQ84">
        <v>6.3</v>
      </c>
      <c r="AR84">
        <v>6</v>
      </c>
      <c r="AS84">
        <v>6.3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  <c r="BF84">
        <v>6.25</v>
      </c>
      <c r="BG84">
        <v>6.6</v>
      </c>
      <c r="BH84">
        <v>6.25</v>
      </c>
      <c r="BI84">
        <v>6.6</v>
      </c>
      <c r="BJ84">
        <v>6.2</v>
      </c>
      <c r="BK84">
        <v>6.55</v>
      </c>
      <c r="BL84">
        <v>6.2</v>
      </c>
      <c r="BM84">
        <v>6.5</v>
      </c>
    </row>
    <row r="85" spans="5:65" hidden="1" x14ac:dyDescent="0.2">
      <c r="G85" t="s">
        <v>68</v>
      </c>
      <c r="H85">
        <v>4.55</v>
      </c>
      <c r="I85">
        <v>4.55</v>
      </c>
      <c r="J85">
        <v>4.75</v>
      </c>
      <c r="K85">
        <v>4.8499999999999996</v>
      </c>
      <c r="L85">
        <v>4.95</v>
      </c>
      <c r="M85">
        <v>5</v>
      </c>
      <c r="N85">
        <v>5.15</v>
      </c>
      <c r="O85">
        <v>5.15</v>
      </c>
      <c r="Q85" t="s">
        <v>68</v>
      </c>
      <c r="R85">
        <v>3.95</v>
      </c>
      <c r="S85">
        <v>3.95</v>
      </c>
      <c r="T85">
        <v>4.2</v>
      </c>
      <c r="U85">
        <v>4.2</v>
      </c>
      <c r="V85">
        <v>4.5</v>
      </c>
      <c r="W85">
        <v>4.45</v>
      </c>
      <c r="X85">
        <v>4.75</v>
      </c>
      <c r="Y85">
        <v>4.7</v>
      </c>
      <c r="AA85" t="s">
        <v>68</v>
      </c>
      <c r="AB85">
        <v>5.6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L85">
        <v>4.9000000000000004</v>
      </c>
      <c r="AM85">
        <v>4.9000000000000004</v>
      </c>
      <c r="AN85">
        <v>5.6</v>
      </c>
      <c r="AO85">
        <v>5.95</v>
      </c>
      <c r="AP85">
        <v>5.75</v>
      </c>
      <c r="AQ85">
        <v>6.05</v>
      </c>
      <c r="AR85">
        <v>5.8</v>
      </c>
      <c r="AS85">
        <v>6.1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  <c r="BF85">
        <v>6.05</v>
      </c>
      <c r="BG85">
        <v>6.4</v>
      </c>
      <c r="BH85">
        <v>6.05</v>
      </c>
      <c r="BI85">
        <v>6.4</v>
      </c>
      <c r="BJ85">
        <v>6.1</v>
      </c>
      <c r="BK85">
        <v>6.4</v>
      </c>
      <c r="BL85">
        <v>6.05</v>
      </c>
      <c r="BM85">
        <v>6.35</v>
      </c>
    </row>
    <row r="86" spans="5:65" hidden="1" x14ac:dyDescent="0.2">
      <c r="G86" t="s">
        <v>71</v>
      </c>
      <c r="H86" s="236">
        <v>179</v>
      </c>
      <c r="I86" s="236"/>
      <c r="J86" s="236">
        <v>229</v>
      </c>
      <c r="K86" s="236"/>
      <c r="L86" s="236">
        <v>252</v>
      </c>
      <c r="M86" s="236"/>
      <c r="N86" s="236">
        <v>275</v>
      </c>
      <c r="O86" s="236"/>
      <c r="R86" s="236">
        <v>179</v>
      </c>
      <c r="S86" s="236"/>
      <c r="T86" s="236">
        <v>229</v>
      </c>
      <c r="U86" s="236"/>
      <c r="V86" s="236">
        <v>252</v>
      </c>
      <c r="W86" s="236"/>
      <c r="X86" s="236">
        <v>275</v>
      </c>
      <c r="Y86" s="236"/>
      <c r="AB86" s="236">
        <v>253</v>
      </c>
      <c r="AC86" s="236"/>
      <c r="AD86" s="236">
        <v>273</v>
      </c>
      <c r="AE86" s="236"/>
      <c r="AF86" s="236">
        <v>296</v>
      </c>
      <c r="AG86" s="236"/>
      <c r="AH86" s="236">
        <v>319</v>
      </c>
      <c r="AI86" s="236"/>
      <c r="AL86" s="236">
        <v>232</v>
      </c>
      <c r="AM86" s="236"/>
      <c r="AN86" s="236">
        <v>273</v>
      </c>
      <c r="AO86" s="236"/>
      <c r="AP86" s="236">
        <v>296</v>
      </c>
      <c r="AQ86" s="236"/>
      <c r="AR86" s="236">
        <v>319</v>
      </c>
      <c r="AS86" s="236"/>
      <c r="AV86" s="236">
        <v>322</v>
      </c>
      <c r="AW86" s="236"/>
      <c r="AX86" s="236">
        <v>345</v>
      </c>
      <c r="AY86" s="236"/>
      <c r="AZ86" s="236">
        <v>368</v>
      </c>
      <c r="BA86" s="236"/>
      <c r="BB86" s="236">
        <v>391</v>
      </c>
      <c r="BC86" s="236"/>
      <c r="BF86" s="236">
        <v>322</v>
      </c>
      <c r="BG86" s="236"/>
      <c r="BH86" s="236">
        <v>345</v>
      </c>
      <c r="BI86" s="236"/>
      <c r="BJ86" s="236">
        <v>368</v>
      </c>
      <c r="BK86" s="236"/>
      <c r="BL86" s="236">
        <v>391</v>
      </c>
      <c r="BM86" s="236"/>
    </row>
    <row r="87" spans="5:65" hidden="1" x14ac:dyDescent="0.2">
      <c r="G87" t="s">
        <v>72</v>
      </c>
      <c r="H87" s="236">
        <v>61</v>
      </c>
      <c r="I87" s="236"/>
      <c r="J87" s="236">
        <v>72.5</v>
      </c>
      <c r="K87" s="236"/>
      <c r="L87" s="236">
        <v>82.5</v>
      </c>
      <c r="M87" s="236"/>
      <c r="N87" s="236">
        <v>92.5</v>
      </c>
      <c r="O87" s="236"/>
      <c r="R87" s="236">
        <v>61</v>
      </c>
      <c r="S87" s="236"/>
      <c r="T87" s="236">
        <v>72.5</v>
      </c>
      <c r="U87" s="236"/>
      <c r="V87" s="236">
        <v>82.5</v>
      </c>
      <c r="W87" s="236"/>
      <c r="X87" s="236">
        <v>92.5</v>
      </c>
      <c r="Y87" s="236"/>
      <c r="AB87" s="236">
        <v>76</v>
      </c>
      <c r="AC87" s="236"/>
      <c r="AD87" s="236">
        <v>78.5</v>
      </c>
      <c r="AE87" s="236"/>
      <c r="AF87" s="236">
        <v>86</v>
      </c>
      <c r="AG87" s="236"/>
      <c r="AH87" s="236">
        <v>96</v>
      </c>
      <c r="AI87" s="236"/>
      <c r="AL87" s="236">
        <v>74</v>
      </c>
      <c r="AM87" s="236"/>
      <c r="AN87" s="236">
        <v>78.5</v>
      </c>
      <c r="AO87" s="236"/>
      <c r="AP87" s="236">
        <v>86</v>
      </c>
      <c r="AQ87" s="236"/>
      <c r="AR87" s="236">
        <v>96</v>
      </c>
      <c r="AS87" s="236"/>
      <c r="AV87" s="236">
        <v>93</v>
      </c>
      <c r="AW87" s="236"/>
      <c r="AX87" s="236">
        <v>103</v>
      </c>
      <c r="AY87" s="236"/>
      <c r="AZ87" s="236">
        <v>113</v>
      </c>
      <c r="BA87" s="236"/>
      <c r="BB87" s="236">
        <v>123</v>
      </c>
      <c r="BC87" s="236"/>
      <c r="BF87" s="236">
        <v>93</v>
      </c>
      <c r="BG87" s="236"/>
      <c r="BH87" s="236">
        <v>103</v>
      </c>
      <c r="BI87" s="236"/>
      <c r="BJ87" s="236">
        <v>113</v>
      </c>
      <c r="BK87" s="236"/>
      <c r="BL87" s="236">
        <v>123</v>
      </c>
      <c r="BM87" s="236"/>
    </row>
    <row r="88" spans="5:65" hidden="1" x14ac:dyDescent="0.2">
      <c r="E88" t="s">
        <v>49</v>
      </c>
      <c r="G88" t="str">
        <f>+DIM!$AK$20&amp;"+"&amp;DIM!$S$14</f>
        <v>251+250</v>
      </c>
      <c r="H88" s="100">
        <f>+VLOOKUP($G$88,$G$62:$O$85,2,FALSE)</f>
        <v>5.45</v>
      </c>
      <c r="I88" s="100">
        <f>+VLOOKUP($G$88,$G$62:$O$85,3,FALSE)</f>
        <v>5.85</v>
      </c>
      <c r="J88" s="100">
        <f>+VLOOKUP($G$88,$G$62:$O$85,4,FALSE)</f>
        <v>5.65</v>
      </c>
      <c r="K88" s="100">
        <f>+VLOOKUP($G$88,$G$62:$O$85,5,FALSE)</f>
        <v>6.1</v>
      </c>
      <c r="L88" s="100">
        <f>+VLOOKUP($G$88,$G$62:$O$85,6,FALSE)</f>
        <v>5.9</v>
      </c>
      <c r="M88" s="100">
        <f>+VLOOKUP($G$88,$G$62:$O$85,7,FALSE)</f>
        <v>6.35</v>
      </c>
      <c r="N88" s="100">
        <f>+VLOOKUP($G$88,$G$62:$O$85,8,FALSE)</f>
        <v>6.1</v>
      </c>
      <c r="O88" s="100">
        <f>+VLOOKUP($G$88,$G$62:$O$85,9,FALSE)</f>
        <v>6.55</v>
      </c>
      <c r="Q88" t="str">
        <f>+DIM!$AK$20&amp;"+"&amp;DIM!$S$14</f>
        <v>251+250</v>
      </c>
      <c r="R88" s="100">
        <f>+VLOOKUP($Q$88,$Q$62:$Y$85,2,FALSE)</f>
        <v>5.45</v>
      </c>
      <c r="S88" s="100">
        <f>+VLOOKUP($Q$88,$Q$62:$Y$85,3,FALSE)</f>
        <v>5.85</v>
      </c>
      <c r="T88" s="100">
        <f>+VLOOKUP($Q$88,$Q$62:$Y$85,4,FALSE)</f>
        <v>5.65</v>
      </c>
      <c r="U88" s="100">
        <f>+VLOOKUP($Q$88,$Q$62:$Y$85,5,FALSE)</f>
        <v>6.05</v>
      </c>
      <c r="V88" s="100">
        <f>+VLOOKUP($Q$88,$Q$62:$Y$85,6,FALSE)</f>
        <v>5.75</v>
      </c>
      <c r="W88" s="100">
        <f>+VLOOKUP($Q$88,$Q$62:$Y$85,7,FALSE)</f>
        <v>6.05</v>
      </c>
      <c r="X88" s="100">
        <f>+VLOOKUP($Q$88,$Q$62:$Y$85,8,FALSE)</f>
        <v>5.7</v>
      </c>
      <c r="Y88" s="100">
        <f>+VLOOKUP($Q$88,$Q$62:$Y$85,9,FALSE)</f>
        <v>6</v>
      </c>
      <c r="AA88" t="str">
        <f>+DIM!$AK$20&amp;"+"&amp;DIM!$S$14</f>
        <v>251+250</v>
      </c>
      <c r="AB88" s="100">
        <f>+VLOOKUP($AA$88,$AA$62:$AI$87,2,FALSE)</f>
        <v>6.25</v>
      </c>
      <c r="AC88" s="100">
        <f>+VLOOKUP($AA$88,$AA$62:$AI$87,3,FALSE)</f>
        <v>6.75</v>
      </c>
      <c r="AD88" s="100">
        <f>+VLOOKUP($AA$88,$AA$62:$AI$87,4,FALSE)</f>
        <v>6.7</v>
      </c>
      <c r="AE88" s="100">
        <f>+VLOOKUP($AA$88,$AA$62:$AI$87,5,FALSE)</f>
        <v>7.2</v>
      </c>
      <c r="AF88" s="100">
        <f>+VLOOKUP($AA$88,$AA$62:$AI$87,6,FALSE)</f>
        <v>6.8</v>
      </c>
      <c r="AG88" s="100">
        <f>+VLOOKUP($AA$88,$AA$62:$AI$87,7,FALSE)</f>
        <v>7.4</v>
      </c>
      <c r="AH88" s="100">
        <f>+VLOOKUP($AA$88,$AA$62:$AI$87,8,FALSE)</f>
        <v>7</v>
      </c>
      <c r="AI88" s="100">
        <f>+VLOOKUP($AA$88,$AA$62:$AI$87,9,FALSE)</f>
        <v>7.6</v>
      </c>
      <c r="AK88" t="str">
        <f>+DIM!$AK$20&amp;"+"&amp;DIM!$S$14</f>
        <v>251+250</v>
      </c>
      <c r="AL88" s="100">
        <f>+VLOOKUP($AK$88,$AK$62:$AS$87,2,FALSE)</f>
        <v>6</v>
      </c>
      <c r="AM88" s="100">
        <f>+VLOOKUP($AK$88,$AK$62:$AS$87,3,FALSE)</f>
        <v>6.3</v>
      </c>
      <c r="AN88" s="100">
        <f>+VLOOKUP($AK$88,$AK$62:$AS$87,4,FALSE)</f>
        <v>6.65</v>
      </c>
      <c r="AO88" s="100">
        <f>+VLOOKUP($AK$88,$AK$62:$AS$87,5,FALSE)</f>
        <v>7</v>
      </c>
      <c r="AP88" s="100">
        <f>+VLOOKUP($AK$88,$AK$62:$AS$87,6,FALSE)</f>
        <v>6.75</v>
      </c>
      <c r="AQ88" s="100">
        <f>+VLOOKUP($AK$88,$AK$62:$AS$87,7,FALSE)</f>
        <v>7.1</v>
      </c>
      <c r="AR88" s="100">
        <f>+VLOOKUP($AK$88,$AK$62:$AS$87,8,FALSE)</f>
        <v>6.7</v>
      </c>
      <c r="AS88" s="100">
        <f>+VLOOKUP($AK$88,$AK$62:$AS$87,9,FALSE)</f>
        <v>7.1</v>
      </c>
      <c r="AU88" t="str">
        <f>+DIM!$AK$20&amp;"+"&amp;DIM!$S$14</f>
        <v>251+250</v>
      </c>
      <c r="AV88" s="100">
        <f>+VLOOKUP($AU$42,$AU$62:$BC$86,2,FALSE)</f>
        <v>7.45</v>
      </c>
      <c r="AW88" s="100">
        <f>+VLOOKUP($AU$42,$AU$62:$BC$86,3,FALSE)</f>
        <v>8.1</v>
      </c>
      <c r="AX88" s="100">
        <f>+VLOOKUP($AU$42,$AU$62:$BC$86,4,FALSE)</f>
        <v>7.65</v>
      </c>
      <c r="AY88" s="100">
        <f>+VLOOKUP($AU$42,$AU$62:$BC$86,5,FALSE)</f>
        <v>8.3000000000000007</v>
      </c>
      <c r="AZ88" s="100">
        <f>+VLOOKUP($AU$42,$AU$62:$BC$86,6,FALSE)</f>
        <v>7.85</v>
      </c>
      <c r="BA88" s="100">
        <f>+VLOOKUP($AU$42,$AU$62:$BC$86,7,FALSE)</f>
        <v>8.5</v>
      </c>
      <c r="BB88" s="100">
        <f>+VLOOKUP($AU$42,$AU$62:$BC$86,8,FALSE)</f>
        <v>8.0500000000000007</v>
      </c>
      <c r="BC88" s="100">
        <f>+VLOOKUP($AU$42,$AU$62:$BC$86,9,FALSE)</f>
        <v>8.6999999999999993</v>
      </c>
      <c r="BE88" t="str">
        <f>+DIM!$AK$20&amp;"+"&amp;DIM!$S$14</f>
        <v>251+250</v>
      </c>
      <c r="BF88" s="100">
        <f>+VLOOKUP($BE$88,$BE$62:$BM$85,2,FALSE)</f>
        <v>6.95</v>
      </c>
      <c r="BG88" s="100">
        <f>+VLOOKUP($BE$88,$BE$62:$BM$85,3,FALSE)</f>
        <v>7.3</v>
      </c>
      <c r="BH88" s="100">
        <f>+VLOOKUP($BE$88,$BE$62:$BM$85,4,FALSE)</f>
        <v>6.9</v>
      </c>
      <c r="BI88" s="100">
        <f>+VLOOKUP($BE$88,$BE$62:$BM$85,5,FALSE)</f>
        <v>7.25</v>
      </c>
      <c r="BJ88" s="100">
        <f>+VLOOKUP($BE$88,$BE$62:$BM$85,6,FALSE)</f>
        <v>6.8</v>
      </c>
      <c r="BK88" s="100">
        <f>+VLOOKUP($BE$88,$BE$62:$BM$85,7,FALSE)</f>
        <v>7.1</v>
      </c>
      <c r="BL88" s="100">
        <f>+VLOOKUP($BE$88,$BE$62:$BM$85,8,FALSE)</f>
        <v>6.7</v>
      </c>
      <c r="BM88" s="100">
        <f>+VLOOKUP($BE$88,$BE$62:$BM$85,9,FALSE)</f>
        <v>6.9</v>
      </c>
    </row>
    <row r="89" spans="5:65" hidden="1" x14ac:dyDescent="0.2">
      <c r="F89" t="s">
        <v>47</v>
      </c>
      <c r="G89">
        <f>+DIM!AD62</f>
        <v>0</v>
      </c>
      <c r="H89" s="235">
        <f>+IF(DIM!$AD$15=ebsvs!$H$15,ebsvs!H88,ebsvs!I88)</f>
        <v>5.85</v>
      </c>
      <c r="I89" s="235"/>
      <c r="J89" s="235">
        <f>+IF(DIM!$AD$15=ebsvs!$H$15,ebsvs!J88,ebsvs!K88)</f>
        <v>6.1</v>
      </c>
      <c r="K89" s="235"/>
      <c r="L89" s="235">
        <f>+IF(DIM!$AD$15=ebsvs!$H$15,ebsvs!L88,ebsvs!M88)</f>
        <v>6.35</v>
      </c>
      <c r="M89" s="235"/>
      <c r="N89" s="235">
        <f>+IF(DIM!$AD$15=ebsvs!$H$15,ebsvs!N88,ebsvs!O88)</f>
        <v>6.55</v>
      </c>
      <c r="O89" s="235"/>
      <c r="Q89" t="str">
        <f>+DIM!AD15</f>
        <v>1C</v>
      </c>
      <c r="R89" s="233">
        <f>+IF(DIM!$AD$15=ebsvs!$H$15,ebsvs!R88,ebsvs!S88)</f>
        <v>5.85</v>
      </c>
      <c r="S89" s="234"/>
      <c r="T89" s="233">
        <f>+IF(DIM!$AD$15=ebsvs!$H$15,ebsvs!T88,ebsvs!U88)</f>
        <v>6.05</v>
      </c>
      <c r="U89" s="234"/>
      <c r="V89" s="233">
        <f>+IF(DIM!$AD$15=ebsvs!$H$15,ebsvs!V88,ebsvs!W88)</f>
        <v>6.05</v>
      </c>
      <c r="W89" s="234"/>
      <c r="X89" s="233">
        <f>+IF(DIM!$AD$15=ebsvs!$H$15,ebsvs!X88,ebsvs!Y88)</f>
        <v>6</v>
      </c>
      <c r="Y89" s="234"/>
      <c r="AA89" t="str">
        <f>+DIM!AD15</f>
        <v>1C</v>
      </c>
      <c r="AB89" s="233">
        <f>+IF(DIM!$AD$15=ebsvs!$H$15,ebsvs!AB88,ebsvs!AC88)</f>
        <v>6.75</v>
      </c>
      <c r="AC89" s="234"/>
      <c r="AD89" s="233">
        <f>+IF(DIM!$AD$15=ebsvs!$H$15,ebsvs!AD88,ebsvs!AE88)</f>
        <v>7.2</v>
      </c>
      <c r="AE89" s="234"/>
      <c r="AF89" s="233">
        <f>+IF(DIM!$AD$15=ebsvs!$H$15,ebsvs!AF88,ebsvs!AG88)</f>
        <v>7.4</v>
      </c>
      <c r="AG89" s="234"/>
      <c r="AH89" s="233">
        <f>+IF(DIM!$AD$15=ebsvs!$H$15,ebsvs!AH88,ebsvs!AI88)</f>
        <v>7.6</v>
      </c>
      <c r="AI89" s="234"/>
      <c r="AK89" t="str">
        <f>+DIM!AD15</f>
        <v>1C</v>
      </c>
      <c r="AL89" s="233">
        <f>+IF(DIM!$AD$15=$AL$61,ebsvs!AL88,ebsvs!AM88)</f>
        <v>6.3</v>
      </c>
      <c r="AM89" s="234"/>
      <c r="AN89" s="233">
        <f>+IF(DIM!$AD$15=$AL$61,ebsvs!AN88,ebsvs!AO88)</f>
        <v>7</v>
      </c>
      <c r="AO89" s="234"/>
      <c r="AP89" s="233">
        <f>+IF(DIM!$AD$15=$AL$61,ebsvs!AP88,ebsvs!AQ88)</f>
        <v>7.1</v>
      </c>
      <c r="AQ89" s="234"/>
      <c r="AR89" s="233">
        <f>+IF(DIM!$AD$15=$AL$61,ebsvs!AR88,ebsvs!AS88)</f>
        <v>7.1</v>
      </c>
      <c r="AS89" s="234"/>
      <c r="AU89" t="str">
        <f>+AK89</f>
        <v>1C</v>
      </c>
      <c r="AV89" s="233">
        <f>+IF(DIM!$AD$15=ebsvs!$H$15,ebsvs!AV88,ebsvs!AW88)</f>
        <v>8.1</v>
      </c>
      <c r="AW89" s="234"/>
      <c r="AX89" s="233">
        <f>+IF(DIM!$AD$15=ebsvs!$H$15,ebsvs!AX88,ebsvs!AY88)</f>
        <v>8.3000000000000007</v>
      </c>
      <c r="AY89" s="234"/>
      <c r="AZ89" s="233">
        <f>+IF(DIM!$AD$15=ebsvs!$H$15,ebsvs!AZ88,ebsvs!BA88)</f>
        <v>8.5</v>
      </c>
      <c r="BA89" s="234"/>
      <c r="BB89" s="233">
        <f>+IF(DIM!$AD$15=ebsvs!$H$15,ebsvs!BB88,ebsvs!BC88)</f>
        <v>8.6999999999999993</v>
      </c>
      <c r="BC89" s="234"/>
      <c r="BE89" t="str">
        <f>+AU89</f>
        <v>1C</v>
      </c>
      <c r="BF89" s="233">
        <f>+IF(DIM!$AD$15=ebsvs!$H$15,ebsvs!BF88,ebsvs!BG88)</f>
        <v>7.3</v>
      </c>
      <c r="BG89" s="234"/>
      <c r="BH89" s="233">
        <f>+IF(DIM!$AD$15=ebsvs!$H$15,ebsvs!BH88,ebsvs!BI88)</f>
        <v>7.25</v>
      </c>
      <c r="BI89" s="234"/>
      <c r="BJ89" s="233">
        <f>+IF(DIM!$AD$15=ebsvs!$H$15,ebsvs!BJ88,ebsvs!BK88)</f>
        <v>7.1</v>
      </c>
      <c r="BK89" s="234"/>
      <c r="BL89" s="233">
        <f>+IF(DIM!$AD$15=ebsvs!$H$15,ebsvs!BL88,ebsvs!BM88)</f>
        <v>6.9</v>
      </c>
      <c r="BM89" s="234"/>
    </row>
    <row r="90" spans="5:65" hidden="1" x14ac:dyDescent="0.2">
      <c r="F90" t="s">
        <v>48</v>
      </c>
      <c r="G90" s="100">
        <f>+DIM!S32</f>
        <v>5</v>
      </c>
      <c r="K90" s="102">
        <f>+HLOOKUP(G90,H60:O89,30,FALSE)</f>
        <v>5.85</v>
      </c>
      <c r="Q90" s="100">
        <f>+DIM!S32</f>
        <v>5</v>
      </c>
      <c r="U90" s="102">
        <f>+HLOOKUP(Q90,R60:Y89,30,FALSE)</f>
        <v>5.85</v>
      </c>
      <c r="AA90" s="100">
        <f>+DIM!S32</f>
        <v>5</v>
      </c>
      <c r="AE90" s="102">
        <f>+HLOOKUP(AA90,AB60:AI89,30,FALSE)</f>
        <v>6.75</v>
      </c>
      <c r="AK90" s="100">
        <f>+DIM!S32</f>
        <v>5</v>
      </c>
      <c r="AO90" s="102">
        <f>+HLOOKUP(AK90,AL60:AS89,30,FALSE)</f>
        <v>6.3</v>
      </c>
      <c r="AU90" s="100">
        <f>+AK90</f>
        <v>5</v>
      </c>
      <c r="AY90" s="102">
        <f>+HLOOKUP(AU90,AV60:BC89,30,FALSE)</f>
        <v>8.1</v>
      </c>
      <c r="BE90" s="101">
        <f>+AU90</f>
        <v>5</v>
      </c>
      <c r="BI90" s="102">
        <f>+HLOOKUP(BE90,BF60:BM89,30,FALSE)</f>
        <v>7.3</v>
      </c>
    </row>
    <row r="91" spans="5:65" hidden="1" x14ac:dyDescent="0.2">
      <c r="E91">
        <f>+DIM!Q32</f>
        <v>15</v>
      </c>
      <c r="F91" t="s">
        <v>65</v>
      </c>
      <c r="K91" s="103" t="str">
        <f>+K56&amp;"+"&amp;G90&amp;" "&amp;L56</f>
        <v>12+5 JUM</v>
      </c>
      <c r="U91" s="103" t="str">
        <f>+U56&amp;"+"&amp;Q90&amp;" "&amp;V56</f>
        <v>12+5 JUM</v>
      </c>
      <c r="AE91" s="103" t="str">
        <f>+AE56&amp;"+"&amp;AA90&amp;" "&amp;AF56</f>
        <v>15+5 JUM</v>
      </c>
      <c r="AO91" s="103" t="str">
        <f>+AO56&amp;"+"&amp;AK90&amp;" "&amp;AP56</f>
        <v>15+5 JUM</v>
      </c>
      <c r="AY91" s="103" t="str">
        <f>+AY56&amp;"+"&amp;AU90&amp;" "&amp;AZ56</f>
        <v>20+5 JUM</v>
      </c>
      <c r="BI91" s="103" t="str">
        <f>+BI56&amp;"+"&amp;BE90&amp;" "&amp;BJ56</f>
        <v>20+5 JUM</v>
      </c>
    </row>
    <row r="92" spans="5:65" hidden="1" x14ac:dyDescent="0.2">
      <c r="F92" t="s">
        <v>66</v>
      </c>
      <c r="G92">
        <f>+DIM!S66</f>
        <v>0</v>
      </c>
      <c r="K92" s="98">
        <f>+HLOOKUP(G90,H60:O86,27,FALSE)</f>
        <v>179</v>
      </c>
      <c r="U92" s="98">
        <f>+HLOOKUP(Q90,R60:Y86,27,FALSE)</f>
        <v>179</v>
      </c>
      <c r="AE92" s="98">
        <f>+HLOOKUP(AA90,AB60:AI86,27,FALSE)</f>
        <v>253</v>
      </c>
      <c r="AO92" s="98">
        <f>+HLOOKUP(AK90,AL60:AS86,27,FALSE)</f>
        <v>232</v>
      </c>
      <c r="AY92" s="98">
        <f>+HLOOKUP(AU90,AV60:BC86,27,FALSE)</f>
        <v>322</v>
      </c>
      <c r="BI92" s="98">
        <f>+HLOOKUP(BE90,BF60:BM86,27,FALSE)</f>
        <v>322</v>
      </c>
    </row>
    <row r="93" spans="5:65" hidden="1" x14ac:dyDescent="0.2">
      <c r="F93">
        <v>12</v>
      </c>
      <c r="G93">
        <f>+IF($G$46="avec etai",K90,U90)</f>
        <v>5.85</v>
      </c>
      <c r="H93">
        <f>+IF($G$46="avec etai",K92,U92)</f>
        <v>179</v>
      </c>
      <c r="I93">
        <f>+IF($G$46="avec etai",K93,U93)</f>
        <v>61</v>
      </c>
      <c r="J93">
        <f>+IF($G$46="avec etai",K94,U94)</f>
        <v>19.600000000000001</v>
      </c>
      <c r="K93" s="98">
        <f>+HLOOKUP(G90,H60:O87,28,FALSE)</f>
        <v>61</v>
      </c>
      <c r="U93" s="98">
        <f>+HLOOKUP(Q90,R60:Y87,28,FALSE)</f>
        <v>61</v>
      </c>
      <c r="AE93" s="98">
        <f>+HLOOKUP(AA90,AB60:AI87,28,FALSE)</f>
        <v>76</v>
      </c>
      <c r="AO93" s="98">
        <f>+HLOOKUP(AK90,AL60:AS87,28,FALSE)</f>
        <v>74</v>
      </c>
      <c r="AY93" s="98">
        <f>+HLOOKUP(AU90,AV60:BC87,28,FALSE)</f>
        <v>93</v>
      </c>
      <c r="BI93" s="98">
        <f>+HLOOKUP(BE90,BF60:BM87,28,FALSE)</f>
        <v>93</v>
      </c>
    </row>
    <row r="94" spans="5:65" hidden="1" x14ac:dyDescent="0.2">
      <c r="F94">
        <v>15</v>
      </c>
      <c r="G94">
        <f>+IF($G$46="avec etai",AE90,AO90)</f>
        <v>6.75</v>
      </c>
      <c r="H94">
        <f>+IF($G$46="avec etai",AE92,AO92)</f>
        <v>253</v>
      </c>
      <c r="I94">
        <f>+IF($G$46="avec etai",AE93,AO93)</f>
        <v>76</v>
      </c>
      <c r="J94">
        <f>+IF($G$46="avec etai",AE94,AO94)</f>
        <v>21.47</v>
      </c>
      <c r="K94" s="98">
        <f>+HLOOKUP(K91,H101:O103,3,FALSE)</f>
        <v>19.600000000000001</v>
      </c>
      <c r="U94" s="98">
        <f>+HLOOKUP(U91,R101:Y103,3,FALSE)</f>
        <v>20.58</v>
      </c>
      <c r="AE94" s="98">
        <f>+HLOOKUP(AE91,AB101:AI103,3,FALSE)</f>
        <v>21.47</v>
      </c>
      <c r="AO94" s="98">
        <f>+HLOOKUP(AO91,AL101:AS103,3,FALSE)</f>
        <v>21.47</v>
      </c>
      <c r="AY94" s="98">
        <f>+HLOOKUP(AY91,AV101:BC103,3,FALSE)</f>
        <v>25.72</v>
      </c>
      <c r="BI94" s="98">
        <f>+HLOOKUP(BI91,BF101:BM103,3,FALSE)</f>
        <v>25.72</v>
      </c>
    </row>
    <row r="95" spans="5:65" ht="19.5" hidden="1" x14ac:dyDescent="0.35">
      <c r="F95">
        <v>20</v>
      </c>
      <c r="G95">
        <f>+IF($G$46="avec etai",AY90,BI90)</f>
        <v>8.1</v>
      </c>
      <c r="H95">
        <f>+IF($G$46="avec etaii",AY92,BI92)</f>
        <v>322</v>
      </c>
      <c r="I95">
        <f>+IF($G$46="avec etai",AY93,BI93)</f>
        <v>93</v>
      </c>
      <c r="J95">
        <f>+IF($G$46="avec etai",AY94,BI94)</f>
        <v>25.72</v>
      </c>
      <c r="K95" s="97">
        <v>12</v>
      </c>
      <c r="L95" s="97" t="s">
        <v>87</v>
      </c>
      <c r="Q95" s="100">
        <v>6.3</v>
      </c>
      <c r="U95" s="97">
        <v>12</v>
      </c>
      <c r="V95" s="97" t="s">
        <v>87</v>
      </c>
      <c r="AE95" s="97">
        <v>15</v>
      </c>
      <c r="AF95" s="97" t="s">
        <v>87</v>
      </c>
      <c r="AO95" s="97">
        <v>15</v>
      </c>
      <c r="AP95" s="97" t="s">
        <v>87</v>
      </c>
      <c r="AY95" s="97">
        <v>20</v>
      </c>
      <c r="AZ95" s="97" t="s">
        <v>87</v>
      </c>
      <c r="BI95" s="97">
        <v>20</v>
      </c>
      <c r="BJ95" s="97" t="s">
        <v>87</v>
      </c>
    </row>
    <row r="96" spans="5:65" hidden="1" x14ac:dyDescent="0.2">
      <c r="E96" s="98" t="s">
        <v>301</v>
      </c>
      <c r="F96" t="s">
        <v>64</v>
      </c>
      <c r="G96">
        <f>IF($E$91&gt;20,"--",+VLOOKUP(DIM!Q32,ebsvs!F93:I95,2,FALSE))</f>
        <v>6.75</v>
      </c>
      <c r="K96" s="98" t="s">
        <v>78</v>
      </c>
      <c r="U96" s="98" t="s">
        <v>83</v>
      </c>
      <c r="AE96" s="98" t="s">
        <v>84</v>
      </c>
      <c r="AO96" s="98" t="s">
        <v>79</v>
      </c>
      <c r="AY96" s="98" t="s">
        <v>84</v>
      </c>
      <c r="BI96" s="98" t="s">
        <v>79</v>
      </c>
    </row>
    <row r="97" spans="5:65" hidden="1" x14ac:dyDescent="0.2">
      <c r="E97" s="98" t="s">
        <v>129</v>
      </c>
      <c r="F97" t="s">
        <v>75</v>
      </c>
      <c r="G97">
        <f>IF($E$91&gt;20,0,+VLOOKUP(DIM!Q32,ebsvs!F93:I95,3,FALSE))</f>
        <v>253</v>
      </c>
      <c r="P97" s="100"/>
    </row>
    <row r="98" spans="5:65" hidden="1" x14ac:dyDescent="0.2">
      <c r="F98" t="s">
        <v>72</v>
      </c>
      <c r="G98">
        <f>IF($E$91&gt;20,0,+VLOOKUP(DIM!Q32,ebsvs!F93:I95,4,FALSE))</f>
        <v>76</v>
      </c>
    </row>
    <row r="99" spans="5:65" hidden="1" x14ac:dyDescent="0.2">
      <c r="F99" t="s">
        <v>274</v>
      </c>
      <c r="G99">
        <f>IF($E$91&gt;20,0,+VLOOKUP(DIM!Q32,F93:J95,5,FALSE))</f>
        <v>21.47</v>
      </c>
    </row>
    <row r="100" spans="5:65" hidden="1" x14ac:dyDescent="0.2"/>
    <row r="101" spans="5:65" hidden="1" x14ac:dyDescent="0.2">
      <c r="G101" s="98" t="s">
        <v>129</v>
      </c>
      <c r="H101" s="236" t="s">
        <v>302</v>
      </c>
      <c r="I101" s="236"/>
      <c r="J101" s="236" t="s">
        <v>303</v>
      </c>
      <c r="K101" s="236"/>
      <c r="L101" s="236" t="s">
        <v>304</v>
      </c>
      <c r="M101" s="236"/>
      <c r="N101" s="236" t="s">
        <v>305</v>
      </c>
      <c r="O101" s="236"/>
      <c r="Q101" t="s">
        <v>129</v>
      </c>
      <c r="R101" s="236" t="s">
        <v>302</v>
      </c>
      <c r="S101" s="236"/>
      <c r="T101" s="236" t="s">
        <v>303</v>
      </c>
      <c r="U101" s="236"/>
      <c r="V101" s="236" t="s">
        <v>304</v>
      </c>
      <c r="W101" s="236"/>
      <c r="X101" s="236" t="s">
        <v>305</v>
      </c>
      <c r="Y101" s="236"/>
      <c r="AA101" s="98" t="s">
        <v>129</v>
      </c>
      <c r="AB101" s="236" t="s">
        <v>306</v>
      </c>
      <c r="AC101" s="236"/>
      <c r="AD101" s="236" t="s">
        <v>307</v>
      </c>
      <c r="AE101" s="236"/>
      <c r="AF101" s="236" t="s">
        <v>308</v>
      </c>
      <c r="AG101" s="236"/>
      <c r="AH101" s="236" t="s">
        <v>309</v>
      </c>
      <c r="AI101" s="236"/>
      <c r="AK101" t="s">
        <v>129</v>
      </c>
      <c r="AL101" s="236" t="s">
        <v>306</v>
      </c>
      <c r="AM101" s="236"/>
      <c r="AN101" s="236" t="s">
        <v>307</v>
      </c>
      <c r="AO101" s="236"/>
      <c r="AP101" s="236" t="s">
        <v>308</v>
      </c>
      <c r="AQ101" s="236"/>
      <c r="AR101" s="236" t="s">
        <v>309</v>
      </c>
      <c r="AS101" s="236"/>
      <c r="AU101" t="s">
        <v>129</v>
      </c>
      <c r="AV101" s="236" t="s">
        <v>310</v>
      </c>
      <c r="AW101" s="236"/>
      <c r="AX101" s="236" t="s">
        <v>311</v>
      </c>
      <c r="AY101" s="236"/>
      <c r="AZ101" s="236" t="s">
        <v>312</v>
      </c>
      <c r="BA101" s="236"/>
      <c r="BB101" s="236" t="s">
        <v>313</v>
      </c>
      <c r="BC101" s="236"/>
      <c r="BE101" t="s">
        <v>129</v>
      </c>
      <c r="BF101" s="236" t="s">
        <v>310</v>
      </c>
      <c r="BG101" s="236"/>
      <c r="BH101" s="236" t="s">
        <v>311</v>
      </c>
      <c r="BI101" s="236"/>
      <c r="BJ101" s="236" t="s">
        <v>312</v>
      </c>
      <c r="BK101" s="236"/>
      <c r="BL101" s="236" t="s">
        <v>313</v>
      </c>
      <c r="BM101" s="236"/>
    </row>
    <row r="102" spans="5:65" hidden="1" x14ac:dyDescent="0.2">
      <c r="F102" s="100">
        <f>+DIM!S10-0.01</f>
        <v>4.99</v>
      </c>
      <c r="H102" s="236">
        <f>+IF(H89&gt;$F$102,1,0)</f>
        <v>1</v>
      </c>
      <c r="I102" s="236"/>
      <c r="J102" s="236">
        <f t="shared" ref="J102" si="11">+IF(J89&gt;$F$102,1,0)</f>
        <v>1</v>
      </c>
      <c r="K102" s="236"/>
      <c r="L102" s="236">
        <f t="shared" ref="L102" si="12">+IF(L89&gt;$F$102,1,0)</f>
        <v>1</v>
      </c>
      <c r="M102" s="236"/>
      <c r="N102" s="236">
        <f t="shared" ref="N102" si="13">+IF(N89&gt;$F$102,1,0)</f>
        <v>1</v>
      </c>
      <c r="O102" s="236"/>
      <c r="R102" s="236">
        <f t="shared" ref="R102:X102" si="14">+IF(R89&gt;$F$102,1,0)</f>
        <v>1</v>
      </c>
      <c r="S102" s="236"/>
      <c r="T102" s="236">
        <f t="shared" si="14"/>
        <v>1</v>
      </c>
      <c r="U102" s="236"/>
      <c r="V102" s="236">
        <f t="shared" si="14"/>
        <v>1</v>
      </c>
      <c r="W102" s="236"/>
      <c r="X102" s="236">
        <f t="shared" si="14"/>
        <v>1</v>
      </c>
      <c r="Y102" s="236"/>
      <c r="AB102" s="236">
        <f t="shared" ref="AB102:AH102" si="15">+IF(AB89&gt;$F$102,1,0)</f>
        <v>1</v>
      </c>
      <c r="AC102" s="236"/>
      <c r="AD102" s="236">
        <f t="shared" si="15"/>
        <v>1</v>
      </c>
      <c r="AE102" s="236"/>
      <c r="AF102" s="236">
        <f t="shared" si="15"/>
        <v>1</v>
      </c>
      <c r="AG102" s="236"/>
      <c r="AH102" s="236">
        <f t="shared" si="15"/>
        <v>1</v>
      </c>
      <c r="AI102" s="236"/>
      <c r="AL102" s="236">
        <f t="shared" ref="AL102:AR102" si="16">+IF(AL89&gt;$F$102,1,0)</f>
        <v>1</v>
      </c>
      <c r="AM102" s="236"/>
      <c r="AN102" s="236">
        <f t="shared" si="16"/>
        <v>1</v>
      </c>
      <c r="AO102" s="236"/>
      <c r="AP102" s="236">
        <f t="shared" si="16"/>
        <v>1</v>
      </c>
      <c r="AQ102" s="236"/>
      <c r="AR102" s="236">
        <f t="shared" si="16"/>
        <v>1</v>
      </c>
      <c r="AS102" s="236"/>
      <c r="AV102" s="236">
        <f t="shared" ref="AV102:BB102" si="17">+IF(AV89&gt;$F$102,1,0)</f>
        <v>1</v>
      </c>
      <c r="AW102" s="236"/>
      <c r="AX102" s="236">
        <f t="shared" si="17"/>
        <v>1</v>
      </c>
      <c r="AY102" s="236"/>
      <c r="AZ102" s="236">
        <f t="shared" si="17"/>
        <v>1</v>
      </c>
      <c r="BA102" s="236"/>
      <c r="BB102" s="236">
        <f t="shared" si="17"/>
        <v>1</v>
      </c>
      <c r="BC102" s="236"/>
      <c r="BF102" s="236">
        <f t="shared" ref="BF102:BL102" si="18">+IF(BF89&gt;$F$102,1,0)</f>
        <v>1</v>
      </c>
      <c r="BG102" s="236"/>
      <c r="BH102" s="236">
        <f t="shared" si="18"/>
        <v>1</v>
      </c>
      <c r="BI102" s="236"/>
      <c r="BJ102" s="236">
        <f t="shared" si="18"/>
        <v>1</v>
      </c>
      <c r="BK102" s="236"/>
      <c r="BL102" s="236">
        <f t="shared" si="18"/>
        <v>1</v>
      </c>
      <c r="BM102" s="236"/>
    </row>
    <row r="103" spans="5:65" hidden="1" x14ac:dyDescent="0.2">
      <c r="F103" s="100"/>
      <c r="H103">
        <v>19.600000000000001</v>
      </c>
      <c r="J103">
        <f>1.97+H103</f>
        <v>21.57</v>
      </c>
      <c r="L103">
        <f>3.94+H103</f>
        <v>23.540000000000003</v>
      </c>
      <c r="N103">
        <f>5.91+H103</f>
        <v>25.51</v>
      </c>
      <c r="O103" s="49"/>
      <c r="R103">
        <v>20.58</v>
      </c>
      <c r="T103">
        <f>1.97+R103</f>
        <v>22.549999999999997</v>
      </c>
      <c r="V103">
        <f>3.94+R103</f>
        <v>24.52</v>
      </c>
      <c r="X103">
        <f>5.91+R103</f>
        <v>26.49</v>
      </c>
      <c r="Y103" s="49"/>
      <c r="AB103">
        <v>21.47</v>
      </c>
      <c r="AD103">
        <f>1.97+AB103</f>
        <v>23.439999999999998</v>
      </c>
      <c r="AF103">
        <f>3.94+AB103</f>
        <v>25.41</v>
      </c>
      <c r="AH103">
        <f>5.91+AB103</f>
        <v>27.38</v>
      </c>
      <c r="AI103" s="49"/>
      <c r="AL103">
        <v>21.47</v>
      </c>
      <c r="AN103">
        <f>1.97+AL103</f>
        <v>23.439999999999998</v>
      </c>
      <c r="AP103">
        <f>3.94+AL103</f>
        <v>25.41</v>
      </c>
      <c r="AR103">
        <f>5.91+AL103</f>
        <v>27.38</v>
      </c>
      <c r="AV103">
        <v>25.72</v>
      </c>
      <c r="AX103">
        <f>1.97+AV103</f>
        <v>27.689999999999998</v>
      </c>
      <c r="AZ103">
        <f>3.94+AV103</f>
        <v>29.66</v>
      </c>
      <c r="BB103">
        <f>5.91+AV103</f>
        <v>31.63</v>
      </c>
      <c r="BF103">
        <v>25.72</v>
      </c>
      <c r="BH103">
        <f>1.97+BF103</f>
        <v>27.689999999999998</v>
      </c>
      <c r="BJ103">
        <f>3.94+BF103</f>
        <v>29.66</v>
      </c>
      <c r="BL103">
        <f>5.91+BF103</f>
        <v>31.63</v>
      </c>
      <c r="BM103" s="49"/>
    </row>
    <row r="104" spans="5:65" hidden="1" x14ac:dyDescent="0.2">
      <c r="F104" s="100"/>
      <c r="H104" s="49"/>
      <c r="J104" t="s">
        <v>315</v>
      </c>
      <c r="L104" t="s">
        <v>129</v>
      </c>
      <c r="T104" t="s">
        <v>316</v>
      </c>
      <c r="V104" t="s">
        <v>129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5:65" hidden="1" x14ac:dyDescent="0.2">
      <c r="F105" s="100"/>
      <c r="H105" s="49"/>
      <c r="K105" s="112" t="str">
        <f>+IF(H102=1,H101,IF(J102=1,J101,IF(L102=1,L101,IF(N102=1,N101,0))))</f>
        <v>12+5 JUM</v>
      </c>
      <c r="L105" s="112" t="str">
        <f>+AE105</f>
        <v>15+5 JUM</v>
      </c>
      <c r="M105" s="112" t="str">
        <f>+AY105</f>
        <v>20+5 JUM</v>
      </c>
      <c r="U105" t="str">
        <f>+IF(R102=1,R101,IF(T102=1,T101,IF(V102=1,V101,IF(X102=1,X101,0))))</f>
        <v>12+5 JUM</v>
      </c>
      <c r="V105" t="str">
        <f>+AO105</f>
        <v>15+5 JUM</v>
      </c>
      <c r="W105" t="str">
        <f>+AY105</f>
        <v>20+5 JUM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 JUM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 JUM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 JUM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 JUM</v>
      </c>
      <c r="BJ105" s="49"/>
      <c r="BK105" s="49"/>
      <c r="BL105" s="49"/>
      <c r="BM105" s="49"/>
    </row>
    <row r="106" spans="5:65" hidden="1" x14ac:dyDescent="0.2">
      <c r="F106" s="100"/>
      <c r="H106" s="49"/>
      <c r="J106" s="98" t="str">
        <f>+IF(K105&gt;0,K105,IF(L105&gt;0,L105,IF(M105&gt;0,M105,"hors limite")))</f>
        <v>12+5 JUM</v>
      </c>
      <c r="T106" s="98" t="str">
        <f>+IF(U105&gt;0,U105,IF(V105&gt;0,V105,IF(W105&gt;0,W105,"hors limite")))</f>
        <v>12+5 JUM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5:65" hidden="1" x14ac:dyDescent="0.2">
      <c r="F107" s="100"/>
      <c r="H107" s="49"/>
      <c r="I107" t="s">
        <v>75</v>
      </c>
      <c r="J107" s="98">
        <f>+IF(K105&gt;0,K107,IF(L105&gt;0,L107,IF(M105&gt;0,M107,0)))</f>
        <v>179</v>
      </c>
      <c r="K107">
        <f>+HLOOKUP(J106,H59:O88,28,FALSE)</f>
        <v>179</v>
      </c>
      <c r="L107">
        <f>+HLOOKUP(L105,AB59:AI88,28,FALSE)</f>
        <v>253</v>
      </c>
      <c r="M107">
        <f>+HLOOKUP(M105,AV59:BC88,28,FALSE)</f>
        <v>322</v>
      </c>
      <c r="T107" s="98">
        <f>+IF(U105&gt;0,U107,IF(V105&gt;0,V107,IF(W105&gt;0,W107,0)))</f>
        <v>179</v>
      </c>
      <c r="U107">
        <f>+HLOOKUP(U105,R59:Y88,28,FALSE)</f>
        <v>179</v>
      </c>
      <c r="V107">
        <f>+HLOOKUP(V105,AL59:AS88,28,FALSE)</f>
        <v>232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5:65" hidden="1" x14ac:dyDescent="0.2">
      <c r="F108" s="98" t="s">
        <v>314</v>
      </c>
      <c r="H108" s="49"/>
      <c r="I108" t="s">
        <v>72</v>
      </c>
      <c r="J108" s="98">
        <f>+IF(K105&gt;0,K108,IF(L105&gt;0,L108,IF(M105&gt;0,M108,0)))</f>
        <v>61</v>
      </c>
      <c r="K108">
        <f>+HLOOKUP(J106,H59:O88,29,FALSE)</f>
        <v>61</v>
      </c>
      <c r="L108">
        <f>+HLOOKUP(L105,AB59:AI88,29,FALSE)</f>
        <v>76</v>
      </c>
      <c r="M108">
        <f>+HLOOKUP(M105,AV59:BC88,29,FALSE)</f>
        <v>93</v>
      </c>
      <c r="T108" s="98">
        <f>+IF(U105&gt;0,U108,IF(V105&gt;0,V108,IF(W105&gt;0,W108,0)))</f>
        <v>61</v>
      </c>
      <c r="U108">
        <f>+HLOOKUP(U105,R59:Y88,29,FALSE)</f>
        <v>61</v>
      </c>
      <c r="V108">
        <f>+HLOOKUP(V105,AL59:AS88,29,FALSE)</f>
        <v>74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5:65" hidden="1" x14ac:dyDescent="0.2">
      <c r="F109" s="100"/>
      <c r="H109" s="49"/>
      <c r="I109" s="49" t="s">
        <v>167</v>
      </c>
      <c r="J109" s="98">
        <f>+IF(K105&gt;0,K109,IF(L105&gt;0,L109,IF(M105&gt;0,M109,0)))</f>
        <v>19.600000000000001</v>
      </c>
      <c r="K109">
        <f>+HLOOKUP(K105,H101:O103,3,FALSE)</f>
        <v>19.600000000000001</v>
      </c>
      <c r="L109">
        <f>+HLOOKUP(L105,AB101:AI103,3,FALSE)</f>
        <v>21.47</v>
      </c>
      <c r="M109">
        <f>+HLOOKUP(M105,AV101:BC103,3,FALSE)</f>
        <v>25.72</v>
      </c>
      <c r="N109" s="49"/>
      <c r="O109" s="49"/>
      <c r="R109" s="49"/>
      <c r="S109" s="49"/>
      <c r="T109" s="98">
        <f>+IF(U105&gt;0,U109,IF(V105&gt;0,V109,IF(W105&gt;0,W109,0)))</f>
        <v>20.58</v>
      </c>
      <c r="U109">
        <f>+HLOOKUP(U105,R101:Y103,3,FALSE)</f>
        <v>20.58</v>
      </c>
      <c r="V109">
        <f>+HLOOKUP(V105,AL101:AS103,3,FALSE)</f>
        <v>21.47</v>
      </c>
      <c r="W109">
        <f>+HLOOKUP(W105,BF101:BM103,3,FALSE)</f>
        <v>25.72</v>
      </c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5:65" hidden="1" x14ac:dyDescent="0.2">
      <c r="F110" s="100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5:65" hidden="1" x14ac:dyDescent="0.2">
      <c r="J111" s="98"/>
      <c r="T111" s="98"/>
    </row>
    <row r="112" spans="5:65" hidden="1" x14ac:dyDescent="0.2">
      <c r="J112" s="98"/>
      <c r="T112" s="98"/>
    </row>
    <row r="113" spans="6:65" hidden="1" x14ac:dyDescent="0.2">
      <c r="G113" s="98" t="s">
        <v>88</v>
      </c>
      <c r="H113" s="236" t="s">
        <v>111</v>
      </c>
      <c r="I113" s="236"/>
      <c r="J113" s="236" t="s">
        <v>112</v>
      </c>
      <c r="K113" s="236"/>
      <c r="L113" s="236" t="s">
        <v>113</v>
      </c>
      <c r="M113" s="236"/>
      <c r="N113" s="236" t="s">
        <v>114</v>
      </c>
      <c r="O113" s="236"/>
      <c r="Q113" t="s">
        <v>88</v>
      </c>
      <c r="R113" s="236" t="s">
        <v>111</v>
      </c>
      <c r="S113" s="236"/>
      <c r="T113" s="236" t="s">
        <v>112</v>
      </c>
      <c r="U113" s="236"/>
      <c r="V113" s="236" t="s">
        <v>113</v>
      </c>
      <c r="W113" s="236"/>
      <c r="X113" s="236" t="s">
        <v>114</v>
      </c>
      <c r="Y113" s="236"/>
      <c r="AA113" s="98" t="s">
        <v>88</v>
      </c>
      <c r="AB113" s="236" t="s">
        <v>115</v>
      </c>
      <c r="AC113" s="236"/>
      <c r="AD113" s="236" t="s">
        <v>116</v>
      </c>
      <c r="AE113" s="236"/>
      <c r="AF113" s="236" t="s">
        <v>117</v>
      </c>
      <c r="AG113" s="236"/>
      <c r="AH113" s="236" t="s">
        <v>118</v>
      </c>
      <c r="AI113" s="236"/>
      <c r="AK113" t="s">
        <v>88</v>
      </c>
      <c r="AL113" s="236" t="s">
        <v>115</v>
      </c>
      <c r="AM113" s="236"/>
      <c r="AN113" s="236" t="s">
        <v>116</v>
      </c>
      <c r="AO113" s="236"/>
      <c r="AP113" s="236" t="s">
        <v>117</v>
      </c>
      <c r="AQ113" s="236"/>
      <c r="AR113" s="236" t="s">
        <v>118</v>
      </c>
      <c r="AS113" s="236"/>
      <c r="AU113" t="s">
        <v>88</v>
      </c>
      <c r="AV113" s="236" t="s">
        <v>119</v>
      </c>
      <c r="AW113" s="236"/>
      <c r="AX113" s="236" t="s">
        <v>120</v>
      </c>
      <c r="AY113" s="236"/>
      <c r="AZ113" s="236" t="s">
        <v>121</v>
      </c>
      <c r="BA113" s="236"/>
      <c r="BB113" s="236" t="s">
        <v>122</v>
      </c>
      <c r="BC113" s="236"/>
      <c r="BE113" t="s">
        <v>88</v>
      </c>
      <c r="BF113" s="236" t="s">
        <v>119</v>
      </c>
      <c r="BG113" s="236"/>
      <c r="BH113" s="236" t="s">
        <v>120</v>
      </c>
      <c r="BI113" s="236"/>
      <c r="BJ113" s="236" t="s">
        <v>121</v>
      </c>
      <c r="BK113" s="236"/>
      <c r="BL113" s="236" t="s">
        <v>122</v>
      </c>
      <c r="BM113" s="236"/>
    </row>
    <row r="114" spans="6:65" hidden="1" x14ac:dyDescent="0.2">
      <c r="F114" s="100"/>
      <c r="H114" s="236">
        <f>+IF(H43&gt;$F$102,1,0)</f>
        <v>0</v>
      </c>
      <c r="I114" s="236"/>
      <c r="J114" s="236">
        <f t="shared" ref="J114" si="19">+IF(J43&gt;$F$102,1,0)</f>
        <v>0</v>
      </c>
      <c r="K114" s="236"/>
      <c r="L114" s="236">
        <f t="shared" ref="L114" si="20">+IF(L43&gt;$F$102,1,0)</f>
        <v>0</v>
      </c>
      <c r="M114" s="236"/>
      <c r="N114" s="236">
        <f t="shared" ref="N114" si="21">+IF(N43&gt;$F$102,1,0)</f>
        <v>1</v>
      </c>
      <c r="O114" s="236"/>
      <c r="R114" s="236">
        <f>+IF(R43&gt;$F$102,1,0)</f>
        <v>0</v>
      </c>
      <c r="S114" s="236"/>
      <c r="T114" s="236">
        <f t="shared" ref="T114" si="22">+IF(T43&gt;$F$102,1,0)</f>
        <v>0</v>
      </c>
      <c r="U114" s="236"/>
      <c r="V114" s="236">
        <f t="shared" ref="V114" si="23">+IF(V43&gt;$F$102,1,0)</f>
        <v>0</v>
      </c>
      <c r="W114" s="236"/>
      <c r="X114" s="236">
        <f t="shared" ref="X114" si="24">+IF(X43&gt;$F$102,1,0)</f>
        <v>0</v>
      </c>
      <c r="Y114" s="236"/>
      <c r="AB114" s="236">
        <f>+IF(AB43&gt;$F$102,1,0)</f>
        <v>1</v>
      </c>
      <c r="AC114" s="236"/>
      <c r="AD114" s="236">
        <f t="shared" ref="AD114" si="25">+IF(AD43&gt;$F$102,1,0)</f>
        <v>1</v>
      </c>
      <c r="AE114" s="236"/>
      <c r="AF114" s="236">
        <f t="shared" ref="AF114" si="26">+IF(AF43&gt;$F$102,1,0)</f>
        <v>1</v>
      </c>
      <c r="AG114" s="236"/>
      <c r="AH114" s="236">
        <f t="shared" ref="AH114" si="27">+IF(AH43&gt;$F$102,1,0)</f>
        <v>1</v>
      </c>
      <c r="AI114" s="236"/>
      <c r="AL114" s="236">
        <f>+IF(AL43&gt;$F$102,1,0)</f>
        <v>0</v>
      </c>
      <c r="AM114" s="236"/>
      <c r="AN114" s="236">
        <f t="shared" ref="AN114" si="28">+IF(AN43&gt;$F$102,1,0)</f>
        <v>1</v>
      </c>
      <c r="AO114" s="236"/>
      <c r="AP114" s="236">
        <f t="shared" ref="AP114" si="29">+IF(AP43&gt;$F$102,1,0)</f>
        <v>1</v>
      </c>
      <c r="AQ114" s="236"/>
      <c r="AR114" s="236">
        <f t="shared" ref="AR114" si="30">+IF(AR43&gt;$F$102,1,0)</f>
        <v>1</v>
      </c>
      <c r="AS114" s="236"/>
      <c r="AV114" s="236">
        <f>+IF(AV43&gt;$F$102,1,0)</f>
        <v>1</v>
      </c>
      <c r="AW114" s="236"/>
      <c r="AX114" s="236">
        <f t="shared" ref="AX114" si="31">+IF(AX43&gt;$F$102,1,0)</f>
        <v>1</v>
      </c>
      <c r="AY114" s="236"/>
      <c r="AZ114" s="236">
        <f t="shared" ref="AZ114" si="32">+IF(AZ43&gt;$F$102,1,0)</f>
        <v>1</v>
      </c>
      <c r="BA114" s="236"/>
      <c r="BB114" s="236">
        <f t="shared" ref="BB114" si="33">+IF(BB43&gt;$F$102,1,0)</f>
        <v>1</v>
      </c>
      <c r="BC114" s="236"/>
      <c r="BF114" s="236">
        <f>+IF(BF43&gt;$F$102,1,0)</f>
        <v>1</v>
      </c>
      <c r="BG114" s="236"/>
      <c r="BH114" s="236">
        <f t="shared" ref="BH114" si="34">+IF(BH43&gt;$F$102,1,0)</f>
        <v>1</v>
      </c>
      <c r="BI114" s="236"/>
      <c r="BJ114" s="236">
        <f t="shared" ref="BJ114" si="35">+IF(BJ43&gt;$F$102,1,0)</f>
        <v>1</v>
      </c>
      <c r="BK114" s="236"/>
      <c r="BL114" s="236">
        <f t="shared" ref="BL114" si="36">+IF(BL43&gt;$F$102,1,0)</f>
        <v>1</v>
      </c>
      <c r="BM114" s="236"/>
    </row>
    <row r="115" spans="6:65" hidden="1" x14ac:dyDescent="0.2">
      <c r="H115">
        <v>14.85</v>
      </c>
      <c r="J115">
        <f>1.97+H115</f>
        <v>16.82</v>
      </c>
      <c r="L115">
        <f>3.94+H115</f>
        <v>18.79</v>
      </c>
      <c r="N115">
        <f>5.91+H115</f>
        <v>20.759999999999998</v>
      </c>
      <c r="R115">
        <v>15.19</v>
      </c>
      <c r="T115">
        <f>1.97+R115</f>
        <v>17.16</v>
      </c>
      <c r="V115">
        <f>3.94+R115</f>
        <v>19.13</v>
      </c>
      <c r="X115">
        <f>5.91+R115</f>
        <v>21.1</v>
      </c>
      <c r="AB115">
        <v>16.72</v>
      </c>
      <c r="AD115">
        <f>1.97+AB115</f>
        <v>18.689999999999998</v>
      </c>
      <c r="AF115">
        <f>3.94+AB115</f>
        <v>20.66</v>
      </c>
      <c r="AH115">
        <f>5.91+AB115</f>
        <v>22.63</v>
      </c>
      <c r="AL115">
        <v>16.72</v>
      </c>
      <c r="AN115">
        <f>1.97+AL115</f>
        <v>18.689999999999998</v>
      </c>
      <c r="AP115">
        <f>3.94+AL115</f>
        <v>20.66</v>
      </c>
      <c r="AR115">
        <f>5.91+AL115</f>
        <v>22.63</v>
      </c>
      <c r="AV115">
        <v>20.98</v>
      </c>
      <c r="AX115">
        <f>1.97+AV115</f>
        <v>22.95</v>
      </c>
      <c r="AZ115">
        <f>3.94+AV115</f>
        <v>24.92</v>
      </c>
      <c r="BB115">
        <f>5.91+AV115</f>
        <v>26.89</v>
      </c>
      <c r="BF115">
        <v>20.98</v>
      </c>
      <c r="BH115">
        <f>1.97+BF115</f>
        <v>22.95</v>
      </c>
      <c r="BJ115">
        <f>3.94+BF115</f>
        <v>24.92</v>
      </c>
      <c r="BL115">
        <f>5.91+BF115</f>
        <v>26.89</v>
      </c>
    </row>
    <row r="116" spans="6:65" hidden="1" x14ac:dyDescent="0.2">
      <c r="J116" t="s">
        <v>123</v>
      </c>
      <c r="L116" t="s">
        <v>88</v>
      </c>
      <c r="T116" t="s">
        <v>124</v>
      </c>
      <c r="V116" t="s">
        <v>88</v>
      </c>
    </row>
    <row r="117" spans="6:65" hidden="1" x14ac:dyDescent="0.2">
      <c r="K117" t="str">
        <f>+IF(H114=1,H113,IF(J114=1,J113,IF(L114=1,L113,IF(N114=1,N113,0))))</f>
        <v>12+8</v>
      </c>
      <c r="L117" t="str">
        <f>+AE117</f>
        <v>15+5</v>
      </c>
      <c r="M117" t="str">
        <f>+AY117</f>
        <v>20+5</v>
      </c>
      <c r="U117">
        <f>+IF(R114=1,R113,IF(T114=1,T113,IF(V114=1,V113,IF(X114=1,X113,0))))</f>
        <v>0</v>
      </c>
      <c r="V117" t="str">
        <f>+AO117</f>
        <v>15+6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15+6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98" t="str">
        <f>+IF(K117&gt;0,K117,IF(L117&gt;0,L117,IF(M117&gt;0,M117,"à jumeler")))</f>
        <v>12+8</v>
      </c>
      <c r="T118" s="98" t="str">
        <f>+IF(U117&gt;0,U117,IF(V117&gt;0,V117,IF(W117&gt;0,W117,"à jumeler")))</f>
        <v>15+6</v>
      </c>
    </row>
    <row r="119" spans="6:65" hidden="1" x14ac:dyDescent="0.2">
      <c r="I119" t="s">
        <v>75</v>
      </c>
      <c r="J119" s="98">
        <f>+IF(K117&gt;0,K119,IF(L117&gt;0,L119,IF(M117&gt;0,M119,0)))</f>
        <v>257</v>
      </c>
      <c r="K119">
        <f>+HLOOKUP(J118,H13:O42,28,FALSE)</f>
        <v>257</v>
      </c>
      <c r="L119">
        <f>+HLOOKUP(L117,AB13:AI41,28,FALSE)</f>
        <v>195</v>
      </c>
      <c r="M119">
        <f>+HLOOKUP(M117,AV13:BC41,28,FALSE)</f>
        <v>272</v>
      </c>
      <c r="T119" s="98">
        <f>+IF(U117&gt;0,U119,IF(V117&gt;0,V119,IF(W117&gt;0,W119,0)))</f>
        <v>233</v>
      </c>
      <c r="U119" t="e">
        <f>+HLOOKUP(U117,R13:Y41,28,FALSE)</f>
        <v>#N/A</v>
      </c>
      <c r="V119">
        <f>+HLOOKUP(V117,AL13:AS41,28,FALSE)</f>
        <v>233</v>
      </c>
      <c r="W119">
        <f>+HLOOKUP(W117,BF13:BM41,28,FALSE)</f>
        <v>272</v>
      </c>
    </row>
    <row r="120" spans="6:65" hidden="1" x14ac:dyDescent="0.2">
      <c r="I120" t="s">
        <v>72</v>
      </c>
      <c r="J120" s="98">
        <f>+IF(K117&gt;0,K120,IF(L117&gt;0,L120,IF(M117&gt;0,M120,0)))</f>
        <v>92.5</v>
      </c>
      <c r="K120">
        <f>+HLOOKUP(J118,H13:O41,29,FALSE)</f>
        <v>92.5</v>
      </c>
      <c r="L120">
        <f>+HLOOKUP(L117,AB13:AI41,29,FALSE)</f>
        <v>69</v>
      </c>
      <c r="M120">
        <f>+HLOOKUP(M117,AV13:BC92,29,FALSE)</f>
        <v>86</v>
      </c>
      <c r="T120" s="98">
        <f>+IF(U117&gt;0,U120,IF(V117&gt;0,V120,IF(W117&gt;0,W120,0)))</f>
        <v>76</v>
      </c>
      <c r="U120" t="e">
        <f>+HLOOKUP(U117,R13:Y41,29,FALSE)</f>
        <v>#N/A</v>
      </c>
      <c r="V120">
        <f>+HLOOKUP(V117,AL13:AS41,29,FALSE)</f>
        <v>76</v>
      </c>
      <c r="W120">
        <f>+HLOOKUP(W117,BF13:BM41,29,FALSE)</f>
        <v>86</v>
      </c>
    </row>
    <row r="121" spans="6:65" hidden="1" x14ac:dyDescent="0.2">
      <c r="I121" t="s">
        <v>274</v>
      </c>
      <c r="J121" s="98">
        <f>+IF(K117&gt;0,K121,IF(L117&gt;0,L121,IF(M117&gt;0,M121,0)))</f>
        <v>20.759999999999998</v>
      </c>
      <c r="K121">
        <f>+HLOOKUP(K117,H113:O115,3,FALSE)</f>
        <v>20.759999999999998</v>
      </c>
      <c r="L121">
        <f>+HLOOKUP(L117,AB113:AI115,3,FALSE)</f>
        <v>16.72</v>
      </c>
      <c r="M121">
        <f>+HLOOKUP(M117,AV113:BC115,3,FALSE)</f>
        <v>20.98</v>
      </c>
      <c r="T121" s="98">
        <f>+IF(U117&gt;0,U121,IF(V117&gt;0,V121,IF(W117&gt;0,W121,0)))</f>
        <v>18.689999999999998</v>
      </c>
      <c r="U121" t="e">
        <f>+HLOOKUP(U117,R113:Y115,3,FALSE)</f>
        <v>#N/A</v>
      </c>
      <c r="V121">
        <f>+HLOOKUP(V117,AL113:AS115,3,FALSE)</f>
        <v>18.689999999999998</v>
      </c>
      <c r="W121">
        <f>+HLOOKUP(W117,BF113:BM115,3,FALSE)</f>
        <v>20.98</v>
      </c>
    </row>
    <row r="122" spans="6:65" hidden="1" x14ac:dyDescent="0.2"/>
    <row r="123" spans="6:65" hidden="1" x14ac:dyDescent="0.2"/>
  </sheetData>
  <sheetProtection algorithmName="SHA-512" hashValue="QaA6kdqbte4MlXnPF1sTfnQQOa6MVeBRqdS+8R8sorBy6xw0r52uFKhmdCEtnofiAaN/CALSvlLfAjc0WFHXaA==" saltValue="HVmXxK8pl99cbjw5NDSb1A==" spinCount="100000" sheet="1" objects="1" scenarios="1"/>
  <mergeCells count="336">
    <mergeCell ref="AZ59:BA59"/>
    <mergeCell ref="BB59:BC59"/>
    <mergeCell ref="BF59:BG59"/>
    <mergeCell ref="BH59:BI59"/>
    <mergeCell ref="BJ59:BK59"/>
    <mergeCell ref="BL59:BM59"/>
    <mergeCell ref="AZ13:BA13"/>
    <mergeCell ref="BB13:BC13"/>
    <mergeCell ref="BF13:BG13"/>
    <mergeCell ref="BH13:BI13"/>
    <mergeCell ref="BJ13:BK13"/>
    <mergeCell ref="BL13:BM13"/>
    <mergeCell ref="BH41:BI41"/>
    <mergeCell ref="BJ41:BK41"/>
    <mergeCell ref="BL41:BM41"/>
    <mergeCell ref="BH14:BI14"/>
    <mergeCell ref="BJ14:BK14"/>
    <mergeCell ref="BL14:BM14"/>
    <mergeCell ref="H59:I59"/>
    <mergeCell ref="J59:K59"/>
    <mergeCell ref="L59:M59"/>
    <mergeCell ref="N59:O59"/>
    <mergeCell ref="R59:S59"/>
    <mergeCell ref="T59:U59"/>
    <mergeCell ref="V59:W59"/>
    <mergeCell ref="X59:Y59"/>
    <mergeCell ref="AB59:AC59"/>
    <mergeCell ref="AD59:AE59"/>
    <mergeCell ref="AF59:AG59"/>
    <mergeCell ref="AH59:AI59"/>
    <mergeCell ref="AL59:AM59"/>
    <mergeCell ref="AN59:AO59"/>
    <mergeCell ref="AP59:AQ59"/>
    <mergeCell ref="AR59:AS59"/>
    <mergeCell ref="AV59:AW59"/>
    <mergeCell ref="AX59:AY59"/>
    <mergeCell ref="AZ114:BA114"/>
    <mergeCell ref="BB114:BC114"/>
    <mergeCell ref="BF114:BG114"/>
    <mergeCell ref="BH114:BI114"/>
    <mergeCell ref="BJ114:BK114"/>
    <mergeCell ref="BL114:BM114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13:BA113"/>
    <mergeCell ref="BB113:BC113"/>
    <mergeCell ref="BF113:BG113"/>
    <mergeCell ref="BH113:BI113"/>
    <mergeCell ref="BJ113:BK113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02:BA102"/>
    <mergeCell ref="BB102:BC102"/>
    <mergeCell ref="BF102:BG102"/>
    <mergeCell ref="BH102:BI102"/>
    <mergeCell ref="BJ102:BK102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01:BA101"/>
    <mergeCell ref="BB101:BC101"/>
    <mergeCell ref="BF101:BG101"/>
    <mergeCell ref="BH101:BI101"/>
    <mergeCell ref="BJ101:BK101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V43:AW43"/>
    <mergeCell ref="AX43:AY43"/>
    <mergeCell ref="AZ43:BA43"/>
    <mergeCell ref="BB43:BC43"/>
    <mergeCell ref="BF43:BG43"/>
    <mergeCell ref="BH43:BI43"/>
    <mergeCell ref="BJ43:BK43"/>
    <mergeCell ref="BL43:BM43"/>
    <mergeCell ref="AV41:AW41"/>
    <mergeCell ref="AX41:AY41"/>
    <mergeCell ref="AZ41:BA41"/>
    <mergeCell ref="BB41:BC41"/>
    <mergeCell ref="BF41:BG41"/>
    <mergeCell ref="AV40:AW40"/>
    <mergeCell ref="AX40:AY40"/>
    <mergeCell ref="AZ40:BA40"/>
    <mergeCell ref="BB40:BC40"/>
    <mergeCell ref="BF40:BG40"/>
    <mergeCell ref="BH40:BI40"/>
    <mergeCell ref="BJ40:BK40"/>
    <mergeCell ref="BL40:BM40"/>
    <mergeCell ref="AV14:AW14"/>
    <mergeCell ref="AX14:AY14"/>
    <mergeCell ref="AZ14:BA14"/>
    <mergeCell ref="BB14:BC14"/>
    <mergeCell ref="BF14:BG14"/>
    <mergeCell ref="AL14:AM14"/>
    <mergeCell ref="AN14:AO14"/>
    <mergeCell ref="AP14:AQ14"/>
    <mergeCell ref="AR14:AS14"/>
    <mergeCell ref="H40:I40"/>
    <mergeCell ref="J40:K40"/>
    <mergeCell ref="L40:M40"/>
    <mergeCell ref="N40:O40"/>
    <mergeCell ref="R40:S40"/>
    <mergeCell ref="T40:U40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AB40:AC40"/>
    <mergeCell ref="AD40:AE40"/>
    <mergeCell ref="H41:I41"/>
    <mergeCell ref="J41:K41"/>
    <mergeCell ref="L41:M41"/>
    <mergeCell ref="N41:O41"/>
    <mergeCell ref="R41:S41"/>
    <mergeCell ref="T41:U41"/>
    <mergeCell ref="V41:W41"/>
    <mergeCell ref="X41:Y41"/>
    <mergeCell ref="H43:I43"/>
    <mergeCell ref="J43:K43"/>
    <mergeCell ref="L43:M43"/>
    <mergeCell ref="N43:O43"/>
    <mergeCell ref="R43:S43"/>
    <mergeCell ref="V43:W43"/>
    <mergeCell ref="X43:Y43"/>
    <mergeCell ref="AB43:AC43"/>
    <mergeCell ref="AD43:AE43"/>
    <mergeCell ref="AF43:AG43"/>
    <mergeCell ref="AH43:AI43"/>
    <mergeCell ref="T43:U43"/>
    <mergeCell ref="V40:W40"/>
    <mergeCell ref="X40:Y40"/>
    <mergeCell ref="AB41:AC41"/>
    <mergeCell ref="AD41:AE41"/>
    <mergeCell ref="AF41:AG41"/>
    <mergeCell ref="AH41:AI41"/>
    <mergeCell ref="AF40:AG40"/>
    <mergeCell ref="AH40:AI40"/>
    <mergeCell ref="AL40:AM40"/>
    <mergeCell ref="AL41:AM41"/>
    <mergeCell ref="AN40:AO40"/>
    <mergeCell ref="AP40:AQ40"/>
    <mergeCell ref="AR40:AS40"/>
    <mergeCell ref="AR41:AS41"/>
    <mergeCell ref="AP41:AQ41"/>
    <mergeCell ref="AN41:AO41"/>
    <mergeCell ref="AL43:AM43"/>
    <mergeCell ref="AN43:AO43"/>
    <mergeCell ref="AP43:AQ43"/>
    <mergeCell ref="AR43:AS43"/>
    <mergeCell ref="T60:U60"/>
    <mergeCell ref="V60:W60"/>
    <mergeCell ref="X60:Y60"/>
    <mergeCell ref="AB60:AC60"/>
    <mergeCell ref="AD60:AE60"/>
    <mergeCell ref="H60:I60"/>
    <mergeCell ref="J60:K60"/>
    <mergeCell ref="L60:M60"/>
    <mergeCell ref="N60:O60"/>
    <mergeCell ref="R60:S60"/>
    <mergeCell ref="BJ60:BK60"/>
    <mergeCell ref="BL60:BM60"/>
    <mergeCell ref="H86:I86"/>
    <mergeCell ref="J86:K86"/>
    <mergeCell ref="L86:M86"/>
    <mergeCell ref="N86:O86"/>
    <mergeCell ref="R86:S86"/>
    <mergeCell ref="T86:U86"/>
    <mergeCell ref="V86:W86"/>
    <mergeCell ref="X86:Y86"/>
    <mergeCell ref="AB86:AC86"/>
    <mergeCell ref="AD86:AE86"/>
    <mergeCell ref="AF86:AG86"/>
    <mergeCell ref="AH86:AI86"/>
    <mergeCell ref="AR60:AS60"/>
    <mergeCell ref="AV60:AW60"/>
    <mergeCell ref="AX60:AY60"/>
    <mergeCell ref="AZ60:BA60"/>
    <mergeCell ref="BB60:BC60"/>
    <mergeCell ref="AF60:AG60"/>
    <mergeCell ref="AH60:AI60"/>
    <mergeCell ref="AL60:AM60"/>
    <mergeCell ref="AN60:AO60"/>
    <mergeCell ref="AP60:AQ60"/>
    <mergeCell ref="BB86:BC86"/>
    <mergeCell ref="BF86:BG86"/>
    <mergeCell ref="BH86:BI86"/>
    <mergeCell ref="AL86:AM86"/>
    <mergeCell ref="AN86:AO86"/>
    <mergeCell ref="AP86:AQ86"/>
    <mergeCell ref="AR86:AS86"/>
    <mergeCell ref="AV86:AW86"/>
    <mergeCell ref="BF60:BG60"/>
    <mergeCell ref="BH60:BI60"/>
    <mergeCell ref="BL87:BM87"/>
    <mergeCell ref="AP87:AQ87"/>
    <mergeCell ref="AR87:AS87"/>
    <mergeCell ref="AV87:AW87"/>
    <mergeCell ref="AX87:AY87"/>
    <mergeCell ref="AZ87:BA87"/>
    <mergeCell ref="BJ86:BK86"/>
    <mergeCell ref="BL86:BM86"/>
    <mergeCell ref="H87:I87"/>
    <mergeCell ref="J87:K87"/>
    <mergeCell ref="L87:M87"/>
    <mergeCell ref="N87:O87"/>
    <mergeCell ref="R87:S87"/>
    <mergeCell ref="T87:U87"/>
    <mergeCell ref="V87:W87"/>
    <mergeCell ref="X87:Y87"/>
    <mergeCell ref="AB87:AC87"/>
    <mergeCell ref="AD87:AE87"/>
    <mergeCell ref="AF87:AG87"/>
    <mergeCell ref="AH87:AI87"/>
    <mergeCell ref="AL87:AM87"/>
    <mergeCell ref="AN87:AO87"/>
    <mergeCell ref="AX86:AY86"/>
    <mergeCell ref="AZ86:BA86"/>
    <mergeCell ref="BB87:BC87"/>
    <mergeCell ref="BF87:BG87"/>
    <mergeCell ref="BH87:BI87"/>
    <mergeCell ref="BJ87:BK87"/>
    <mergeCell ref="AF89:AG89"/>
    <mergeCell ref="AH89:AI89"/>
    <mergeCell ref="AL89:AM89"/>
    <mergeCell ref="AN89:AO89"/>
    <mergeCell ref="AP89:AQ89"/>
    <mergeCell ref="BF89:BG89"/>
    <mergeCell ref="BH89:BI89"/>
    <mergeCell ref="BJ89:BK89"/>
    <mergeCell ref="BL89:BM89"/>
    <mergeCell ref="AR89:AS89"/>
    <mergeCell ref="AV89:AW89"/>
    <mergeCell ref="AX89:AY89"/>
    <mergeCell ref="AZ89:BA89"/>
    <mergeCell ref="BB89:BC89"/>
    <mergeCell ref="H89:I89"/>
    <mergeCell ref="J89:K89"/>
    <mergeCell ref="L89:M89"/>
    <mergeCell ref="N89:O89"/>
    <mergeCell ref="R89:S89"/>
    <mergeCell ref="T89:U89"/>
    <mergeCell ref="V89:W89"/>
    <mergeCell ref="X89:Y89"/>
    <mergeCell ref="AB89:AC89"/>
    <mergeCell ref="AD89:AE89"/>
  </mergeCells>
  <phoneticPr fontId="26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E6C11-0E1C-4E44-B542-BBE6CC352627}">
  <dimension ref="D9:BM124"/>
  <sheetViews>
    <sheetView showGridLines="0" zoomScale="110" zoomScaleNormal="110" workbookViewId="0">
      <selection activeCell="F154" sqref="F154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</cols>
  <sheetData>
    <row r="9" spans="7:65" hidden="1" x14ac:dyDescent="0.2"/>
    <row r="10" spans="7:65" ht="19.5" hidden="1" x14ac:dyDescent="0.35">
      <c r="K10" s="97">
        <v>12</v>
      </c>
      <c r="U10" s="97">
        <v>12</v>
      </c>
      <c r="AE10" s="97">
        <v>15</v>
      </c>
      <c r="AO10" s="97">
        <v>15</v>
      </c>
    </row>
    <row r="11" spans="7:65" hidden="1" x14ac:dyDescent="0.2">
      <c r="K11" s="98" t="s">
        <v>78</v>
      </c>
      <c r="U11" s="98" t="s">
        <v>83</v>
      </c>
      <c r="AE11" s="98" t="s">
        <v>84</v>
      </c>
      <c r="AO11" s="98" t="s">
        <v>79</v>
      </c>
    </row>
    <row r="12" spans="7:65" hidden="1" x14ac:dyDescent="0.2">
      <c r="H12">
        <v>137</v>
      </c>
      <c r="R12">
        <v>937</v>
      </c>
      <c r="AB12">
        <v>158</v>
      </c>
      <c r="AD12">
        <v>179</v>
      </c>
      <c r="AF12">
        <v>189</v>
      </c>
      <c r="AH12">
        <v>189</v>
      </c>
      <c r="AL12" t="s">
        <v>69</v>
      </c>
      <c r="AN12">
        <v>179</v>
      </c>
      <c r="AP12">
        <v>189</v>
      </c>
      <c r="AR12">
        <v>189</v>
      </c>
    </row>
    <row r="13" spans="7:65" hidden="1" x14ac:dyDescent="0.2">
      <c r="H13" s="235" t="s">
        <v>111</v>
      </c>
      <c r="I13" s="235"/>
      <c r="J13" s="235" t="s">
        <v>112</v>
      </c>
      <c r="K13" s="235"/>
      <c r="L13" s="235" t="s">
        <v>113</v>
      </c>
      <c r="M13" s="235"/>
      <c r="N13" s="235" t="s">
        <v>114</v>
      </c>
      <c r="O13" s="235"/>
      <c r="R13" s="235" t="s">
        <v>111</v>
      </c>
      <c r="S13" s="235"/>
      <c r="T13" s="235" t="s">
        <v>112</v>
      </c>
      <c r="U13" s="235"/>
      <c r="V13" s="235" t="s">
        <v>113</v>
      </c>
      <c r="W13" s="235"/>
      <c r="X13" s="235" t="s">
        <v>114</v>
      </c>
      <c r="Y13" s="235"/>
      <c r="AB13" s="235" t="s">
        <v>115</v>
      </c>
      <c r="AC13" s="235"/>
      <c r="AD13" s="235" t="s">
        <v>116</v>
      </c>
      <c r="AE13" s="235"/>
      <c r="AF13" s="235" t="s">
        <v>117</v>
      </c>
      <c r="AG13" s="235"/>
      <c r="AH13" s="235" t="s">
        <v>118</v>
      </c>
      <c r="AI13" s="235"/>
      <c r="AL13" s="235" t="s">
        <v>115</v>
      </c>
      <c r="AM13" s="235"/>
      <c r="AN13" s="235" t="s">
        <v>116</v>
      </c>
      <c r="AO13" s="235"/>
      <c r="AP13" s="235" t="s">
        <v>117</v>
      </c>
      <c r="AQ13" s="235"/>
      <c r="AR13" s="235" t="s">
        <v>118</v>
      </c>
      <c r="AS13" s="235"/>
      <c r="AV13" s="235" t="s">
        <v>119</v>
      </c>
      <c r="AW13" s="235"/>
      <c r="AX13" s="235" t="s">
        <v>120</v>
      </c>
      <c r="AY13" s="235"/>
      <c r="AZ13" s="235" t="s">
        <v>121</v>
      </c>
      <c r="BA13" s="235"/>
      <c r="BB13" s="235" t="s">
        <v>122</v>
      </c>
      <c r="BC13" s="235"/>
      <c r="BF13" s="235" t="s">
        <v>119</v>
      </c>
      <c r="BG13" s="235"/>
      <c r="BH13" s="235" t="s">
        <v>120</v>
      </c>
      <c r="BI13" s="235"/>
      <c r="BJ13" s="235" t="s">
        <v>121</v>
      </c>
      <c r="BK13" s="235"/>
      <c r="BL13" s="235" t="s">
        <v>122</v>
      </c>
      <c r="BM13" s="235"/>
    </row>
    <row r="14" spans="7:65" hidden="1" x14ac:dyDescent="0.2">
      <c r="H14" s="235">
        <v>5</v>
      </c>
      <c r="I14" s="235"/>
      <c r="J14" s="235">
        <v>6</v>
      </c>
      <c r="K14" s="235"/>
      <c r="L14" s="235">
        <v>7</v>
      </c>
      <c r="M14" s="235"/>
      <c r="N14" s="235">
        <v>8</v>
      </c>
      <c r="O14" s="235"/>
      <c r="R14" s="235">
        <v>5</v>
      </c>
      <c r="S14" s="235"/>
      <c r="T14" s="235">
        <v>6</v>
      </c>
      <c r="U14" s="235"/>
      <c r="V14" s="235">
        <v>7</v>
      </c>
      <c r="W14" s="235"/>
      <c r="X14" s="235">
        <v>8</v>
      </c>
      <c r="Y14" s="235"/>
      <c r="AB14" s="235">
        <v>5</v>
      </c>
      <c r="AC14" s="235"/>
      <c r="AD14" s="235">
        <v>6</v>
      </c>
      <c r="AE14" s="235"/>
      <c r="AF14" s="235">
        <v>7</v>
      </c>
      <c r="AG14" s="235"/>
      <c r="AH14" s="235">
        <v>8</v>
      </c>
      <c r="AI14" s="235"/>
      <c r="AL14" s="235">
        <v>5</v>
      </c>
      <c r="AM14" s="235"/>
      <c r="AN14" s="235">
        <v>6</v>
      </c>
      <c r="AO14" s="235"/>
      <c r="AP14" s="235">
        <v>7</v>
      </c>
      <c r="AQ14" s="235"/>
      <c r="AR14" s="235">
        <v>8</v>
      </c>
      <c r="AS14" s="235"/>
    </row>
    <row r="15" spans="7:6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</row>
    <row r="16" spans="7:65" hidden="1" x14ac:dyDescent="0.2">
      <c r="G16" t="s">
        <v>161</v>
      </c>
      <c r="H16">
        <v>6.1</v>
      </c>
      <c r="I16">
        <v>6.5</v>
      </c>
      <c r="J16">
        <v>6.25</v>
      </c>
      <c r="K16">
        <v>6.7</v>
      </c>
      <c r="L16">
        <v>6.4</v>
      </c>
      <c r="M16">
        <v>6.9</v>
      </c>
      <c r="N16">
        <v>6.6</v>
      </c>
      <c r="O16">
        <v>7.1</v>
      </c>
      <c r="Q16" t="s">
        <v>161</v>
      </c>
      <c r="R16">
        <v>5.3</v>
      </c>
      <c r="S16">
        <v>5.3</v>
      </c>
      <c r="T16">
        <v>5.0999999999999996</v>
      </c>
      <c r="U16">
        <v>5.0999999999999996</v>
      </c>
      <c r="V16">
        <v>4.95</v>
      </c>
      <c r="W16">
        <v>4.95</v>
      </c>
      <c r="X16">
        <v>4.8</v>
      </c>
      <c r="Y16">
        <v>4.8</v>
      </c>
      <c r="AA16" t="s">
        <v>161</v>
      </c>
      <c r="AB16">
        <v>6.9</v>
      </c>
      <c r="AC16">
        <v>7.4</v>
      </c>
      <c r="AD16">
        <v>7.25</v>
      </c>
      <c r="AE16">
        <v>7.85</v>
      </c>
      <c r="AF16">
        <v>7.35</v>
      </c>
      <c r="AG16">
        <v>8</v>
      </c>
      <c r="AH16">
        <v>7.5</v>
      </c>
      <c r="AI16">
        <v>8.15</v>
      </c>
      <c r="AK16" t="s">
        <v>161</v>
      </c>
      <c r="AL16">
        <v>5.05</v>
      </c>
      <c r="AM16">
        <v>5.05</v>
      </c>
      <c r="AN16">
        <v>6.2</v>
      </c>
      <c r="AO16">
        <v>6.35</v>
      </c>
      <c r="AP16">
        <v>6</v>
      </c>
      <c r="AQ16">
        <v>6</v>
      </c>
      <c r="AR16">
        <v>5.8</v>
      </c>
      <c r="AS16">
        <v>5.8</v>
      </c>
    </row>
    <row r="17" spans="7:4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5.3</v>
      </c>
      <c r="S17">
        <v>5</v>
      </c>
      <c r="T17">
        <v>5.0999999999999996</v>
      </c>
      <c r="U17">
        <v>5.0999999999999996</v>
      </c>
      <c r="V17">
        <v>4.95</v>
      </c>
      <c r="W17">
        <v>4.95</v>
      </c>
      <c r="X17">
        <v>4.8</v>
      </c>
      <c r="Y17">
        <v>4.8</v>
      </c>
      <c r="AA17" t="s">
        <v>34</v>
      </c>
      <c r="AB17">
        <v>6.5</v>
      </c>
      <c r="AC17">
        <v>7.05</v>
      </c>
      <c r="AD17">
        <v>6.9</v>
      </c>
      <c r="AE17">
        <v>7.45</v>
      </c>
      <c r="AF17">
        <v>7</v>
      </c>
      <c r="AG17">
        <v>7.6</v>
      </c>
      <c r="AH17">
        <v>7.1</v>
      </c>
      <c r="AI17">
        <v>7.45</v>
      </c>
      <c r="AK17" t="s">
        <v>34</v>
      </c>
      <c r="AL17">
        <v>5.05</v>
      </c>
      <c r="AM17">
        <v>5.05</v>
      </c>
      <c r="AN17">
        <v>6.2</v>
      </c>
      <c r="AO17">
        <v>6.35</v>
      </c>
      <c r="AP17">
        <v>6</v>
      </c>
      <c r="AQ17">
        <v>6</v>
      </c>
      <c r="AR17">
        <v>5.8</v>
      </c>
      <c r="AS17">
        <v>5.8</v>
      </c>
    </row>
    <row r="18" spans="7:45" hidden="1" x14ac:dyDescent="0.2">
      <c r="G18" t="s">
        <v>35</v>
      </c>
      <c r="H18">
        <v>5.5</v>
      </c>
      <c r="I18">
        <v>5.85</v>
      </c>
      <c r="J18">
        <v>5.5</v>
      </c>
      <c r="K18">
        <v>5.6</v>
      </c>
      <c r="L18">
        <v>5.7</v>
      </c>
      <c r="M18">
        <v>5.8</v>
      </c>
      <c r="N18">
        <v>5.95</v>
      </c>
      <c r="O18">
        <v>6.5</v>
      </c>
      <c r="Q18" t="s">
        <v>35</v>
      </c>
      <c r="R18">
        <v>5.3</v>
      </c>
      <c r="S18">
        <v>5.3</v>
      </c>
      <c r="T18">
        <v>5.0999999999999996</v>
      </c>
      <c r="U18">
        <v>5.0999999999999996</v>
      </c>
      <c r="V18">
        <v>4.95</v>
      </c>
      <c r="W18">
        <v>4.95</v>
      </c>
      <c r="X18">
        <v>4.8</v>
      </c>
      <c r="Y18">
        <v>4.8</v>
      </c>
      <c r="AA18" t="s">
        <v>35</v>
      </c>
      <c r="AB18">
        <v>6.2</v>
      </c>
      <c r="AC18">
        <v>6.7</v>
      </c>
      <c r="AD18">
        <v>6.55</v>
      </c>
      <c r="AE18">
        <v>7.15</v>
      </c>
      <c r="AF18">
        <v>6.65</v>
      </c>
      <c r="AG18">
        <v>7.3</v>
      </c>
      <c r="AH18">
        <v>6.8</v>
      </c>
      <c r="AI18">
        <v>7.45</v>
      </c>
      <c r="AK18" t="s">
        <v>35</v>
      </c>
      <c r="AL18">
        <v>5.05</v>
      </c>
      <c r="AM18">
        <v>5.05</v>
      </c>
      <c r="AN18">
        <v>6</v>
      </c>
      <c r="AO18">
        <v>6.3</v>
      </c>
      <c r="AP18">
        <v>6</v>
      </c>
      <c r="AQ18">
        <v>6</v>
      </c>
      <c r="AR18">
        <v>5.8</v>
      </c>
      <c r="AS18">
        <v>5.8</v>
      </c>
    </row>
    <row r="19" spans="7:4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5.45</v>
      </c>
      <c r="M19">
        <v>6</v>
      </c>
      <c r="N19">
        <v>5.8</v>
      </c>
      <c r="O19">
        <v>6.3</v>
      </c>
      <c r="Q19" t="s">
        <v>36</v>
      </c>
      <c r="R19">
        <v>4.95</v>
      </c>
      <c r="S19">
        <v>5.2</v>
      </c>
      <c r="T19">
        <v>5.0999999999999996</v>
      </c>
      <c r="U19">
        <v>5.0999999999999996</v>
      </c>
      <c r="V19">
        <v>4.95</v>
      </c>
      <c r="W19">
        <v>4.95</v>
      </c>
      <c r="X19">
        <v>4.75</v>
      </c>
      <c r="Y19">
        <v>4.8</v>
      </c>
      <c r="AA19" t="s">
        <v>36</v>
      </c>
      <c r="AB19">
        <v>5.9</v>
      </c>
      <c r="AC19">
        <v>6.45</v>
      </c>
      <c r="AD19">
        <v>6.3</v>
      </c>
      <c r="AE19">
        <v>6.85</v>
      </c>
      <c r="AF19">
        <v>6.4</v>
      </c>
      <c r="AG19">
        <v>7</v>
      </c>
      <c r="AH19">
        <v>5.55</v>
      </c>
      <c r="AI19">
        <v>7.2</v>
      </c>
      <c r="AK19" t="s">
        <v>36</v>
      </c>
      <c r="AL19">
        <v>5.05</v>
      </c>
      <c r="AM19">
        <v>5.05</v>
      </c>
      <c r="AN19">
        <v>5.8</v>
      </c>
      <c r="AO19">
        <v>6.1</v>
      </c>
      <c r="AP19">
        <v>5.8</v>
      </c>
      <c r="AQ19">
        <v>6</v>
      </c>
      <c r="AR19">
        <v>5.7</v>
      </c>
      <c r="AS19">
        <v>6</v>
      </c>
    </row>
    <row r="20" spans="7:45" hidden="1" x14ac:dyDescent="0.2">
      <c r="G20" t="s">
        <v>37</v>
      </c>
      <c r="H20">
        <v>5.2</v>
      </c>
      <c r="I20">
        <v>5.4</v>
      </c>
      <c r="J20">
        <v>5.4</v>
      </c>
      <c r="K20">
        <v>5.65</v>
      </c>
      <c r="L20">
        <v>5.7</v>
      </c>
      <c r="M20">
        <v>5.85</v>
      </c>
      <c r="N20">
        <v>5.85</v>
      </c>
      <c r="O20">
        <v>6.05</v>
      </c>
      <c r="Q20" t="s">
        <v>37</v>
      </c>
      <c r="R20">
        <v>4.8</v>
      </c>
      <c r="S20">
        <v>4.5999999999999996</v>
      </c>
      <c r="T20">
        <v>4.75</v>
      </c>
      <c r="U20">
        <v>5</v>
      </c>
      <c r="V20">
        <v>4.7</v>
      </c>
      <c r="W20">
        <v>4.95</v>
      </c>
      <c r="X20">
        <v>4.6500000000000004</v>
      </c>
      <c r="Y20">
        <v>4.8</v>
      </c>
      <c r="AA20" t="s">
        <v>37</v>
      </c>
      <c r="AB20">
        <v>5.7</v>
      </c>
      <c r="AC20">
        <v>6.25</v>
      </c>
      <c r="AD20">
        <v>6.05</v>
      </c>
      <c r="AE20">
        <v>6.65</v>
      </c>
      <c r="AF20">
        <v>6.15</v>
      </c>
      <c r="AG20">
        <v>6.8</v>
      </c>
      <c r="AH20">
        <v>6.35</v>
      </c>
      <c r="AI20">
        <v>6.95</v>
      </c>
      <c r="AK20" t="s">
        <v>37</v>
      </c>
      <c r="AL20">
        <v>5.05</v>
      </c>
      <c r="AM20">
        <v>5.05</v>
      </c>
      <c r="AN20">
        <v>5.6</v>
      </c>
      <c r="AO20">
        <v>5.9</v>
      </c>
      <c r="AP20">
        <v>5.6</v>
      </c>
      <c r="AQ20">
        <v>5.95</v>
      </c>
      <c r="AR20">
        <v>5.55</v>
      </c>
      <c r="AS20">
        <v>5.8</v>
      </c>
    </row>
    <row r="21" spans="7:45" hidden="1" x14ac:dyDescent="0.2">
      <c r="G21" t="s">
        <v>80</v>
      </c>
      <c r="H21">
        <v>4.8</v>
      </c>
      <c r="I21">
        <v>5.25</v>
      </c>
      <c r="J21">
        <v>5</v>
      </c>
      <c r="K21">
        <v>5.45</v>
      </c>
      <c r="L21">
        <v>5.15</v>
      </c>
      <c r="M21">
        <v>5.65</v>
      </c>
      <c r="N21">
        <v>5.35</v>
      </c>
      <c r="O21">
        <v>5.85</v>
      </c>
      <c r="Q21" t="s">
        <v>80</v>
      </c>
      <c r="R21">
        <v>4.6500000000000004</v>
      </c>
      <c r="S21">
        <v>4.9000000000000004</v>
      </c>
      <c r="T21">
        <v>4.6500000000000004</v>
      </c>
      <c r="U21">
        <v>4.8499999999999996</v>
      </c>
      <c r="V21">
        <v>4.5999999999999996</v>
      </c>
      <c r="W21">
        <v>4.8499999999999996</v>
      </c>
      <c r="X21">
        <v>4.5</v>
      </c>
      <c r="Y21">
        <v>4.8</v>
      </c>
      <c r="AA21" t="s">
        <v>80</v>
      </c>
      <c r="AB21">
        <v>5.5</v>
      </c>
      <c r="AC21">
        <v>6.05</v>
      </c>
      <c r="AD21">
        <v>5.85</v>
      </c>
      <c r="AE21">
        <v>6.4</v>
      </c>
      <c r="AF21">
        <v>6</v>
      </c>
      <c r="AG21">
        <v>6.55</v>
      </c>
      <c r="AH21">
        <v>6.15</v>
      </c>
      <c r="AI21">
        <v>6.75</v>
      </c>
      <c r="AK21" t="s">
        <v>80</v>
      </c>
      <c r="AL21">
        <v>4.75</v>
      </c>
      <c r="AM21">
        <v>5</v>
      </c>
      <c r="AN21">
        <v>5.45</v>
      </c>
      <c r="AO21">
        <v>5.75</v>
      </c>
      <c r="AP21">
        <v>5.5</v>
      </c>
      <c r="AQ21">
        <v>5.75</v>
      </c>
      <c r="AR21">
        <v>5.4</v>
      </c>
      <c r="AS21">
        <v>5.7</v>
      </c>
    </row>
    <row r="22" spans="7:45" hidden="1" x14ac:dyDescent="0.2">
      <c r="G22" t="s">
        <v>38</v>
      </c>
      <c r="H22">
        <v>4.5</v>
      </c>
      <c r="I22">
        <v>4.95</v>
      </c>
      <c r="J22">
        <v>4.7</v>
      </c>
      <c r="K22">
        <v>5.15</v>
      </c>
      <c r="L22">
        <v>4.8499999999999996</v>
      </c>
      <c r="M22">
        <v>5.35</v>
      </c>
      <c r="N22">
        <v>5.05</v>
      </c>
      <c r="O22">
        <v>5.55</v>
      </c>
      <c r="Q22" t="s">
        <v>38</v>
      </c>
      <c r="R22">
        <v>4.4000000000000004</v>
      </c>
      <c r="S22">
        <v>4.6500000000000004</v>
      </c>
      <c r="T22">
        <v>4.4000000000000004</v>
      </c>
      <c r="U22">
        <v>4.6500000000000004</v>
      </c>
      <c r="V22">
        <v>4.4000000000000004</v>
      </c>
      <c r="W22">
        <v>4.6500000000000004</v>
      </c>
      <c r="X22">
        <v>4.3499999999999996</v>
      </c>
      <c r="Y22">
        <v>4.5999999999999996</v>
      </c>
      <c r="AA22" t="s">
        <v>38</v>
      </c>
      <c r="AB22">
        <v>5.2</v>
      </c>
      <c r="AC22">
        <v>5.75</v>
      </c>
      <c r="AD22">
        <v>5.5</v>
      </c>
      <c r="AE22">
        <v>6.05</v>
      </c>
      <c r="AF22">
        <v>5.65</v>
      </c>
      <c r="AG22">
        <v>6.2</v>
      </c>
      <c r="AH22">
        <v>5.8</v>
      </c>
      <c r="AI22">
        <v>6.4</v>
      </c>
      <c r="AK22" t="s">
        <v>38</v>
      </c>
      <c r="AL22">
        <v>4.55</v>
      </c>
      <c r="AM22">
        <v>4.8</v>
      </c>
      <c r="AN22">
        <v>5.15</v>
      </c>
      <c r="AO22">
        <v>4.45</v>
      </c>
      <c r="AP22">
        <v>5.2</v>
      </c>
      <c r="AQ22">
        <v>5.5</v>
      </c>
      <c r="AR22">
        <v>5.15</v>
      </c>
      <c r="AS22">
        <v>5.45</v>
      </c>
    </row>
    <row r="23" spans="7:45" hidden="1" x14ac:dyDescent="0.2">
      <c r="G23" t="s">
        <v>39</v>
      </c>
      <c r="H23">
        <v>4.25</v>
      </c>
      <c r="I23">
        <v>4.7</v>
      </c>
      <c r="J23">
        <v>4.45</v>
      </c>
      <c r="K23">
        <v>4.9000000000000004</v>
      </c>
      <c r="L23">
        <v>4.5999999999999996</v>
      </c>
      <c r="M23">
        <v>5.0999999999999996</v>
      </c>
      <c r="N23">
        <v>4.8</v>
      </c>
      <c r="O23">
        <v>5.3</v>
      </c>
      <c r="Q23" t="s">
        <v>39</v>
      </c>
      <c r="R23">
        <v>4.2</v>
      </c>
      <c r="S23">
        <v>4.4000000000000004</v>
      </c>
      <c r="T23">
        <v>4.2</v>
      </c>
      <c r="U23">
        <v>4.45</v>
      </c>
      <c r="V23">
        <v>4.2</v>
      </c>
      <c r="W23">
        <v>4.4000000000000004</v>
      </c>
      <c r="X23">
        <v>4.2</v>
      </c>
      <c r="Y23">
        <v>4.4000000000000004</v>
      </c>
      <c r="AA23" t="s">
        <v>39</v>
      </c>
      <c r="AB23">
        <v>4.9000000000000004</v>
      </c>
      <c r="AC23">
        <v>5.4</v>
      </c>
      <c r="AD23">
        <v>5.25</v>
      </c>
      <c r="AE23">
        <v>5.8</v>
      </c>
      <c r="AF23">
        <v>5.4</v>
      </c>
      <c r="AG23">
        <v>5.9</v>
      </c>
      <c r="AH23">
        <v>5.5</v>
      </c>
      <c r="AI23">
        <v>6.1</v>
      </c>
      <c r="AK23" t="s">
        <v>39</v>
      </c>
      <c r="AL23">
        <v>4.3499999999999996</v>
      </c>
      <c r="AM23">
        <v>4.5999999999999996</v>
      </c>
      <c r="AN23">
        <v>4.9000000000000004</v>
      </c>
      <c r="AO23">
        <v>5.15</v>
      </c>
      <c r="AP23">
        <v>4.95</v>
      </c>
      <c r="AQ23">
        <v>5.25</v>
      </c>
      <c r="AR23">
        <v>4.95</v>
      </c>
      <c r="AS23">
        <v>5.2</v>
      </c>
    </row>
    <row r="24" spans="7:45" hidden="1" x14ac:dyDescent="0.2">
      <c r="G24" t="s">
        <v>162</v>
      </c>
      <c r="H24">
        <v>5.6</v>
      </c>
      <c r="I24">
        <v>5.9</v>
      </c>
      <c r="J24">
        <v>5.8</v>
      </c>
      <c r="K24">
        <v>6.15</v>
      </c>
      <c r="L24">
        <v>6</v>
      </c>
      <c r="M24">
        <v>6.3</v>
      </c>
      <c r="N24">
        <v>6.15</v>
      </c>
      <c r="O24">
        <v>6.55</v>
      </c>
      <c r="Q24" t="s">
        <v>162</v>
      </c>
      <c r="R24">
        <v>5.0999999999999996</v>
      </c>
      <c r="S24">
        <v>5.3</v>
      </c>
      <c r="T24">
        <v>5.05</v>
      </c>
      <c r="U24">
        <v>5.0999999999999996</v>
      </c>
      <c r="V24">
        <v>4.95</v>
      </c>
      <c r="W24">
        <v>4.95</v>
      </c>
      <c r="X24">
        <v>4.8</v>
      </c>
      <c r="Y24">
        <v>4.8</v>
      </c>
      <c r="AA24" t="s">
        <v>162</v>
      </c>
      <c r="AB24">
        <v>6.4</v>
      </c>
      <c r="AC24">
        <v>6.75</v>
      </c>
      <c r="AD24">
        <v>6.8</v>
      </c>
      <c r="AE24">
        <v>7.2</v>
      </c>
      <c r="AF24">
        <v>6.9</v>
      </c>
      <c r="AG24">
        <v>7.3</v>
      </c>
      <c r="AH24">
        <v>7.05</v>
      </c>
      <c r="AI24">
        <v>7.5</v>
      </c>
      <c r="AK24" t="s">
        <v>162</v>
      </c>
      <c r="AL24">
        <v>5.05</v>
      </c>
      <c r="AM24">
        <v>5.05</v>
      </c>
      <c r="AN24">
        <v>5.7</v>
      </c>
      <c r="AO24">
        <v>6.05</v>
      </c>
      <c r="AP24">
        <v>5.8</v>
      </c>
      <c r="AQ24">
        <v>6</v>
      </c>
      <c r="AR24">
        <v>5.75</v>
      </c>
      <c r="AS24">
        <v>5.8</v>
      </c>
    </row>
    <row r="25" spans="7:45" hidden="1" x14ac:dyDescent="0.2">
      <c r="G25" t="s">
        <v>40</v>
      </c>
      <c r="H25">
        <v>5.4</v>
      </c>
      <c r="I25">
        <v>5.5</v>
      </c>
      <c r="J25">
        <v>5.6</v>
      </c>
      <c r="K25">
        <v>5.85</v>
      </c>
      <c r="L25">
        <v>5.7</v>
      </c>
      <c r="M25">
        <v>6.05</v>
      </c>
      <c r="N25">
        <v>5.95</v>
      </c>
      <c r="O25">
        <v>6.2</v>
      </c>
      <c r="Q25" t="s">
        <v>40</v>
      </c>
      <c r="R25">
        <v>4.95</v>
      </c>
      <c r="S25">
        <v>5.2</v>
      </c>
      <c r="T25">
        <v>4.9000000000000004</v>
      </c>
      <c r="U25">
        <v>5.0999999999999996</v>
      </c>
      <c r="V25">
        <v>4.8</v>
      </c>
      <c r="W25">
        <v>4.95</v>
      </c>
      <c r="X25">
        <v>4.75</v>
      </c>
      <c r="Y25">
        <v>4.8</v>
      </c>
      <c r="AA25" t="s">
        <v>40</v>
      </c>
      <c r="AB25">
        <v>6.1</v>
      </c>
      <c r="AC25">
        <v>6.5</v>
      </c>
      <c r="AD25">
        <v>6.45</v>
      </c>
      <c r="AE25">
        <v>6.9</v>
      </c>
      <c r="AF25">
        <v>6.6</v>
      </c>
      <c r="AG25">
        <v>7</v>
      </c>
      <c r="AH25">
        <v>6.75</v>
      </c>
      <c r="AI25">
        <v>7.2</v>
      </c>
      <c r="AK25" t="s">
        <v>40</v>
      </c>
      <c r="AL25">
        <v>5.05</v>
      </c>
      <c r="AM25">
        <v>5.05</v>
      </c>
      <c r="AN25">
        <v>5.7</v>
      </c>
      <c r="AO25">
        <v>6.05</v>
      </c>
      <c r="AP25">
        <v>5.8</v>
      </c>
      <c r="AQ25">
        <v>6</v>
      </c>
      <c r="AR25">
        <v>5.75</v>
      </c>
      <c r="AS25">
        <v>5.8</v>
      </c>
    </row>
    <row r="26" spans="7:45" hidden="1" x14ac:dyDescent="0.2">
      <c r="G26" t="s">
        <v>41</v>
      </c>
      <c r="H26">
        <v>5.0999999999999996</v>
      </c>
      <c r="I26">
        <v>5.45</v>
      </c>
      <c r="J26">
        <v>5.3</v>
      </c>
      <c r="K26">
        <v>5.65</v>
      </c>
      <c r="L26">
        <v>5.5</v>
      </c>
      <c r="M26">
        <v>5.85</v>
      </c>
      <c r="N26">
        <v>5.65</v>
      </c>
      <c r="O26">
        <v>6.05</v>
      </c>
      <c r="Q26" t="s">
        <v>41</v>
      </c>
      <c r="R26">
        <v>4.8</v>
      </c>
      <c r="S26">
        <v>5.05</v>
      </c>
      <c r="T26">
        <v>4.75</v>
      </c>
      <c r="U26">
        <v>5</v>
      </c>
      <c r="V26">
        <v>4.7</v>
      </c>
      <c r="W26">
        <v>4.95</v>
      </c>
      <c r="X26">
        <v>4.6500000000000004</v>
      </c>
      <c r="Y26">
        <v>4.8</v>
      </c>
      <c r="AA26" t="s">
        <v>41</v>
      </c>
      <c r="AB26">
        <v>5.85</v>
      </c>
      <c r="AC26">
        <v>6.25</v>
      </c>
      <c r="AD26">
        <v>6.2</v>
      </c>
      <c r="AE26">
        <v>6.65</v>
      </c>
      <c r="AF26">
        <v>6.35</v>
      </c>
      <c r="AG26">
        <v>6.8</v>
      </c>
      <c r="AH26">
        <v>6.55</v>
      </c>
      <c r="AI26">
        <v>7</v>
      </c>
      <c r="AK26" t="s">
        <v>41</v>
      </c>
      <c r="AL26">
        <v>5.05</v>
      </c>
      <c r="AM26">
        <v>5.05</v>
      </c>
      <c r="AN26">
        <v>5.6</v>
      </c>
      <c r="AO26">
        <v>6.05</v>
      </c>
      <c r="AP26">
        <v>5.65</v>
      </c>
      <c r="AQ26">
        <v>5.95</v>
      </c>
      <c r="AR26">
        <v>5.8</v>
      </c>
      <c r="AS26">
        <v>5.8</v>
      </c>
    </row>
    <row r="27" spans="7:45" hidden="1" x14ac:dyDescent="0.2">
      <c r="G27" t="s">
        <v>42</v>
      </c>
      <c r="H27">
        <v>4.9000000000000004</v>
      </c>
      <c r="I27">
        <v>5.25</v>
      </c>
      <c r="J27">
        <v>5.0999999999999996</v>
      </c>
      <c r="K27">
        <v>5.45</v>
      </c>
      <c r="L27">
        <v>5.3</v>
      </c>
      <c r="M27">
        <v>5.65</v>
      </c>
      <c r="N27">
        <v>5.45</v>
      </c>
      <c r="O27">
        <v>5.85</v>
      </c>
      <c r="Q27" t="s">
        <v>42</v>
      </c>
      <c r="R27">
        <v>4.6500000000000004</v>
      </c>
      <c r="S27">
        <v>4.9000000000000004</v>
      </c>
      <c r="T27">
        <v>4.5999999999999996</v>
      </c>
      <c r="U27">
        <v>4.8499999999999996</v>
      </c>
      <c r="V27">
        <v>4.5999999999999996</v>
      </c>
      <c r="W27">
        <v>4.8499999999999996</v>
      </c>
      <c r="X27">
        <v>4.55</v>
      </c>
      <c r="Y27">
        <v>4.8</v>
      </c>
      <c r="AA27" t="s">
        <v>42</v>
      </c>
      <c r="AB27">
        <v>5.66</v>
      </c>
      <c r="AC27">
        <v>6.05</v>
      </c>
      <c r="AD27">
        <v>6</v>
      </c>
      <c r="AE27">
        <v>6.4</v>
      </c>
      <c r="AF27">
        <v>6.1</v>
      </c>
      <c r="AG27">
        <v>6.55</v>
      </c>
      <c r="AH27">
        <v>6.3</v>
      </c>
      <c r="AI27">
        <v>6.75</v>
      </c>
      <c r="AK27" t="s">
        <v>42</v>
      </c>
      <c r="AL27">
        <v>4.75</v>
      </c>
      <c r="AM27">
        <v>5.05</v>
      </c>
      <c r="AN27">
        <v>5.45</v>
      </c>
      <c r="AO27">
        <v>5.75</v>
      </c>
      <c r="AP27">
        <v>5.5</v>
      </c>
      <c r="AQ27">
        <v>5</v>
      </c>
      <c r="AR27">
        <v>5.5</v>
      </c>
      <c r="AS27">
        <v>5.8</v>
      </c>
    </row>
    <row r="28" spans="7:45" hidden="1" x14ac:dyDescent="0.2">
      <c r="G28" t="s">
        <v>43</v>
      </c>
      <c r="H28">
        <v>4.75</v>
      </c>
      <c r="I28">
        <v>5.0999999999999996</v>
      </c>
      <c r="J28">
        <v>4.9000000000000004</v>
      </c>
      <c r="K28">
        <v>5.3</v>
      </c>
      <c r="L28">
        <v>5.0999999999999996</v>
      </c>
      <c r="M28">
        <v>5.5</v>
      </c>
      <c r="N28">
        <v>5.3</v>
      </c>
      <c r="O28">
        <v>5.7</v>
      </c>
      <c r="Q28" t="s">
        <v>43</v>
      </c>
      <c r="R28">
        <v>4.5</v>
      </c>
      <c r="S28">
        <v>4.75</v>
      </c>
      <c r="T28">
        <v>4.5</v>
      </c>
      <c r="U28">
        <v>4.75</v>
      </c>
      <c r="V28">
        <v>4.5</v>
      </c>
      <c r="W28">
        <v>4.75</v>
      </c>
      <c r="X28">
        <v>4.45</v>
      </c>
      <c r="Y28">
        <v>4.7</v>
      </c>
      <c r="AA28" t="s">
        <v>43</v>
      </c>
      <c r="AB28">
        <v>5.45</v>
      </c>
      <c r="AC28">
        <v>5.85</v>
      </c>
      <c r="AD28">
        <v>5.8</v>
      </c>
      <c r="AE28">
        <v>6.25</v>
      </c>
      <c r="AF28">
        <v>5.9</v>
      </c>
      <c r="AG28">
        <v>6.4</v>
      </c>
      <c r="AH28">
        <v>6.1</v>
      </c>
      <c r="AI28">
        <v>6.55</v>
      </c>
      <c r="AK28" t="s">
        <v>43</v>
      </c>
      <c r="AL28">
        <v>4.6500000000000004</v>
      </c>
      <c r="AM28">
        <v>4.9000000000000004</v>
      </c>
      <c r="AN28">
        <v>5.3</v>
      </c>
      <c r="AO28">
        <v>5.6</v>
      </c>
      <c r="AP28">
        <v>5.35</v>
      </c>
      <c r="AQ28">
        <v>5.65</v>
      </c>
      <c r="AR28">
        <v>5.35</v>
      </c>
      <c r="AS28">
        <v>5.65</v>
      </c>
    </row>
    <row r="29" spans="7:45" hidden="1" x14ac:dyDescent="0.2">
      <c r="G29" t="s">
        <v>81</v>
      </c>
      <c r="H29">
        <v>4.5999999999999996</v>
      </c>
      <c r="I29">
        <v>4.95</v>
      </c>
      <c r="J29">
        <v>4.75</v>
      </c>
      <c r="K29">
        <v>5.15</v>
      </c>
      <c r="L29">
        <v>5</v>
      </c>
      <c r="M29">
        <v>5.35</v>
      </c>
      <c r="N29">
        <v>5.15</v>
      </c>
      <c r="O29">
        <v>5.55</v>
      </c>
      <c r="Q29" t="s">
        <v>81</v>
      </c>
      <c r="R29">
        <v>4.4000000000000004</v>
      </c>
      <c r="S29">
        <v>4.6500000000000004</v>
      </c>
      <c r="T29">
        <v>4.4000000000000004</v>
      </c>
      <c r="U29">
        <v>4.6500000000000004</v>
      </c>
      <c r="V29">
        <v>4.4000000000000004</v>
      </c>
      <c r="W29">
        <v>4.6500000000000004</v>
      </c>
      <c r="X29">
        <v>4.3499999999999996</v>
      </c>
      <c r="Y29">
        <v>4.5999999999999996</v>
      </c>
      <c r="AA29" t="s">
        <v>81</v>
      </c>
      <c r="AB29">
        <v>5.3</v>
      </c>
      <c r="AC29">
        <v>5.7</v>
      </c>
      <c r="AD29">
        <v>5.6</v>
      </c>
      <c r="AE29">
        <v>6.05</v>
      </c>
      <c r="AF29">
        <v>5.75</v>
      </c>
      <c r="AG29">
        <v>6.2</v>
      </c>
      <c r="AH29">
        <v>5.9</v>
      </c>
      <c r="AI29">
        <v>6.4</v>
      </c>
      <c r="AK29" t="s">
        <v>81</v>
      </c>
      <c r="AL29">
        <v>4.55</v>
      </c>
      <c r="AM29">
        <v>4.9000000000000004</v>
      </c>
      <c r="AN29">
        <v>5.15</v>
      </c>
      <c r="AO29">
        <v>5.45</v>
      </c>
      <c r="AP29">
        <v>5.3</v>
      </c>
      <c r="AQ29">
        <v>5.55</v>
      </c>
      <c r="AR29">
        <v>5.25</v>
      </c>
      <c r="AS29">
        <v>5.5</v>
      </c>
    </row>
    <row r="30" spans="7:45" hidden="1" x14ac:dyDescent="0.2">
      <c r="G30" t="s">
        <v>44</v>
      </c>
      <c r="H30">
        <v>4.3499999999999996</v>
      </c>
      <c r="I30">
        <v>4.7</v>
      </c>
      <c r="J30">
        <v>4.5</v>
      </c>
      <c r="K30">
        <v>4.9000000000000004</v>
      </c>
      <c r="L30">
        <v>4.7</v>
      </c>
      <c r="M30">
        <v>5.0999999999999996</v>
      </c>
      <c r="N30">
        <v>4.8499999999999996</v>
      </c>
      <c r="O30">
        <v>5.3</v>
      </c>
      <c r="Q30" t="s">
        <v>44</v>
      </c>
      <c r="R30">
        <v>4.2</v>
      </c>
      <c r="S30">
        <v>4.4000000000000004</v>
      </c>
      <c r="T30">
        <v>4.2</v>
      </c>
      <c r="U30">
        <v>4.45</v>
      </c>
      <c r="V30">
        <v>4.2</v>
      </c>
      <c r="W30">
        <v>4.45</v>
      </c>
      <c r="X30">
        <v>4.2</v>
      </c>
      <c r="Y30">
        <v>4.45</v>
      </c>
      <c r="AA30" t="s">
        <v>44</v>
      </c>
      <c r="AB30">
        <v>5</v>
      </c>
      <c r="AC30">
        <v>5.4</v>
      </c>
      <c r="AD30">
        <v>5.35</v>
      </c>
      <c r="AE30">
        <v>5.75</v>
      </c>
      <c r="AF30">
        <v>5.5</v>
      </c>
      <c r="AG30">
        <v>5.9</v>
      </c>
      <c r="AH30">
        <v>5.55</v>
      </c>
      <c r="AI30">
        <v>6.1</v>
      </c>
      <c r="AK30" t="s">
        <v>44</v>
      </c>
      <c r="AL30">
        <v>4.4000000000000004</v>
      </c>
      <c r="AM30">
        <v>4.5999999999999996</v>
      </c>
      <c r="AN30">
        <v>4.95</v>
      </c>
      <c r="AO30">
        <v>5.25</v>
      </c>
      <c r="AP30">
        <v>5.05</v>
      </c>
      <c r="AQ30">
        <v>5.3</v>
      </c>
      <c r="AR30">
        <v>5.05</v>
      </c>
      <c r="AS30">
        <v>5.3</v>
      </c>
    </row>
    <row r="31" spans="7:45" hidden="1" x14ac:dyDescent="0.2">
      <c r="G31" t="s">
        <v>67</v>
      </c>
      <c r="H31">
        <v>4.0999999999999996</v>
      </c>
      <c r="I31">
        <v>4.5</v>
      </c>
      <c r="J31">
        <v>4.3</v>
      </c>
      <c r="K31">
        <v>4.7</v>
      </c>
      <c r="L31">
        <v>4.5</v>
      </c>
      <c r="M31">
        <v>4.9000000000000004</v>
      </c>
      <c r="N31">
        <v>4.6500000000000004</v>
      </c>
      <c r="O31">
        <v>5.05</v>
      </c>
      <c r="Q31" t="s">
        <v>67</v>
      </c>
      <c r="R31">
        <v>3.95</v>
      </c>
      <c r="S31">
        <v>3.95</v>
      </c>
      <c r="T31">
        <v>4.05</v>
      </c>
      <c r="U31">
        <v>4.2</v>
      </c>
      <c r="V31">
        <v>4</v>
      </c>
      <c r="W31">
        <v>4.3</v>
      </c>
      <c r="X31">
        <v>4.05</v>
      </c>
      <c r="Y31">
        <v>4.3</v>
      </c>
      <c r="AA31" t="s">
        <v>67</v>
      </c>
      <c r="AB31">
        <v>4.75</v>
      </c>
      <c r="AC31">
        <v>5.15</v>
      </c>
      <c r="AD31">
        <v>5.0999999999999996</v>
      </c>
      <c r="AE31">
        <v>5.55</v>
      </c>
      <c r="AF31">
        <v>5.2</v>
      </c>
      <c r="AG31">
        <v>5.7</v>
      </c>
      <c r="AH31">
        <v>5.35</v>
      </c>
      <c r="AI31">
        <v>5.85</v>
      </c>
      <c r="AK31" t="s">
        <v>67</v>
      </c>
      <c r="AL31">
        <v>4.2</v>
      </c>
      <c r="AM31">
        <v>4.45</v>
      </c>
      <c r="AN31">
        <v>4.75</v>
      </c>
      <c r="AO31">
        <v>5</v>
      </c>
      <c r="AP31">
        <v>4.8499999999999996</v>
      </c>
      <c r="AQ31">
        <v>5.0999999999999996</v>
      </c>
      <c r="AR31">
        <v>4.8499999999999996</v>
      </c>
      <c r="AS31">
        <v>5.0999999999999996</v>
      </c>
    </row>
    <row r="32" spans="7:45" hidden="1" x14ac:dyDescent="0.2">
      <c r="G32" t="s">
        <v>163</v>
      </c>
      <c r="H32">
        <v>5.15</v>
      </c>
      <c r="I32">
        <v>5.3</v>
      </c>
      <c r="J32">
        <v>5.3</v>
      </c>
      <c r="K32">
        <v>5.5</v>
      </c>
      <c r="L32">
        <v>5.5</v>
      </c>
      <c r="M32">
        <v>5.7</v>
      </c>
      <c r="N32">
        <v>5.65</v>
      </c>
      <c r="O32">
        <v>5.9</v>
      </c>
      <c r="Q32" t="s">
        <v>163</v>
      </c>
      <c r="R32">
        <v>4.6500000000000004</v>
      </c>
      <c r="S32">
        <v>4.9000000000000004</v>
      </c>
      <c r="T32">
        <v>4.6500000000000004</v>
      </c>
      <c r="U32">
        <v>4.9000000000000004</v>
      </c>
      <c r="V32">
        <v>4.5999999999999996</v>
      </c>
      <c r="W32">
        <v>4.8499999999999996</v>
      </c>
      <c r="X32">
        <v>4.55</v>
      </c>
      <c r="Y32">
        <v>4.8</v>
      </c>
      <c r="AA32" t="s">
        <v>163</v>
      </c>
      <c r="AB32">
        <v>5.8</v>
      </c>
      <c r="AC32">
        <v>6.1</v>
      </c>
      <c r="AD32">
        <v>6.2</v>
      </c>
      <c r="AE32">
        <v>6.45</v>
      </c>
      <c r="AF32">
        <v>6.35</v>
      </c>
      <c r="AG32">
        <v>6.6</v>
      </c>
      <c r="AH32">
        <v>6.5</v>
      </c>
      <c r="AI32">
        <v>6.8</v>
      </c>
      <c r="AK32" t="s">
        <v>163</v>
      </c>
      <c r="AL32">
        <v>4.75</v>
      </c>
      <c r="AM32">
        <v>5.05</v>
      </c>
      <c r="AN32">
        <v>5.45</v>
      </c>
      <c r="AO32">
        <v>5.75</v>
      </c>
      <c r="AP32">
        <v>5.5</v>
      </c>
      <c r="AQ32">
        <v>5.8</v>
      </c>
      <c r="AR32">
        <v>5.5</v>
      </c>
      <c r="AS32">
        <v>5.75</v>
      </c>
    </row>
    <row r="33" spans="5:45" hidden="1" x14ac:dyDescent="0.2">
      <c r="G33" t="s">
        <v>50</v>
      </c>
      <c r="H33">
        <v>4.9000000000000004</v>
      </c>
      <c r="I33">
        <v>5.0999999999999996</v>
      </c>
      <c r="J33">
        <v>5.0999999999999996</v>
      </c>
      <c r="K33">
        <v>5.3</v>
      </c>
      <c r="L33">
        <v>5.3</v>
      </c>
      <c r="M33">
        <v>5.5</v>
      </c>
      <c r="N33">
        <v>5.45</v>
      </c>
      <c r="O33">
        <v>5.7</v>
      </c>
      <c r="Q33" t="s">
        <v>50</v>
      </c>
      <c r="R33">
        <v>4.5</v>
      </c>
      <c r="S33">
        <v>4.75</v>
      </c>
      <c r="T33">
        <v>4.5</v>
      </c>
      <c r="U33">
        <v>4.75</v>
      </c>
      <c r="V33">
        <v>4.5</v>
      </c>
      <c r="W33">
        <v>4.75</v>
      </c>
      <c r="X33">
        <v>4.45</v>
      </c>
      <c r="Y33">
        <v>4.7</v>
      </c>
      <c r="AA33" t="s">
        <v>50</v>
      </c>
      <c r="AB33">
        <v>5.6</v>
      </c>
      <c r="AC33">
        <v>5.9</v>
      </c>
      <c r="AD33">
        <v>6</v>
      </c>
      <c r="AE33">
        <v>6.3</v>
      </c>
      <c r="AF33">
        <v>6.1</v>
      </c>
      <c r="AG33">
        <v>6.45</v>
      </c>
      <c r="AH33">
        <v>6.3</v>
      </c>
      <c r="AI33">
        <v>6.55</v>
      </c>
      <c r="AK33" t="s">
        <v>50</v>
      </c>
      <c r="AL33">
        <v>4.6500000000000004</v>
      </c>
      <c r="AM33">
        <v>4.9000000000000004</v>
      </c>
      <c r="AN33">
        <v>5.3</v>
      </c>
      <c r="AO33">
        <v>5.6</v>
      </c>
      <c r="AP33">
        <v>5.35</v>
      </c>
      <c r="AQ33">
        <v>5.65</v>
      </c>
      <c r="AR33">
        <v>5.35</v>
      </c>
      <c r="AS33">
        <v>5.65</v>
      </c>
    </row>
    <row r="34" spans="5:45" hidden="1" x14ac:dyDescent="0.2">
      <c r="G34" t="s">
        <v>76</v>
      </c>
      <c r="H34">
        <v>4.75</v>
      </c>
      <c r="I34">
        <v>4.95</v>
      </c>
      <c r="J34">
        <v>4.95</v>
      </c>
      <c r="K34">
        <v>5.15</v>
      </c>
      <c r="L34">
        <v>5.0999999999999996</v>
      </c>
      <c r="M34">
        <v>5.35</v>
      </c>
      <c r="N34">
        <v>5.3</v>
      </c>
      <c r="O34">
        <v>5.6</v>
      </c>
      <c r="Q34" t="s">
        <v>76</v>
      </c>
      <c r="R34">
        <v>4.4000000000000004</v>
      </c>
      <c r="S34">
        <v>4.6500000000000004</v>
      </c>
      <c r="T34">
        <v>4.4000000000000004</v>
      </c>
      <c r="U34">
        <v>4.6500000000000004</v>
      </c>
      <c r="V34">
        <v>4.4000000000000004</v>
      </c>
      <c r="W34">
        <v>4.6500000000000004</v>
      </c>
      <c r="X34">
        <v>4.3499999999999996</v>
      </c>
      <c r="Y34">
        <v>4.5999999999999996</v>
      </c>
      <c r="AA34" t="s">
        <v>76</v>
      </c>
      <c r="AB34">
        <v>5.45</v>
      </c>
      <c r="AC34">
        <v>5.7</v>
      </c>
      <c r="AD34">
        <v>5.8</v>
      </c>
      <c r="AE34">
        <v>6.1</v>
      </c>
      <c r="AF34">
        <v>5.9</v>
      </c>
      <c r="AG34">
        <v>6.25</v>
      </c>
      <c r="AH34">
        <v>6.1</v>
      </c>
      <c r="AI34">
        <v>6.4</v>
      </c>
      <c r="AK34" t="s">
        <v>76</v>
      </c>
      <c r="AL34">
        <v>4.5999999999999996</v>
      </c>
      <c r="AM34">
        <v>4.8</v>
      </c>
      <c r="AN34">
        <v>5.2</v>
      </c>
      <c r="AO34">
        <v>5.15</v>
      </c>
      <c r="AP34">
        <v>5.25</v>
      </c>
      <c r="AQ34">
        <v>5.5</v>
      </c>
      <c r="AR34">
        <v>5.25</v>
      </c>
      <c r="AS34">
        <v>5.5</v>
      </c>
    </row>
    <row r="35" spans="5:45" hidden="1" x14ac:dyDescent="0.2">
      <c r="G35" t="s">
        <v>77</v>
      </c>
      <c r="H35">
        <v>4.5999999999999996</v>
      </c>
      <c r="I35">
        <v>4.8</v>
      </c>
      <c r="J35">
        <v>4.8</v>
      </c>
      <c r="K35">
        <v>5.05</v>
      </c>
      <c r="L35">
        <v>5</v>
      </c>
      <c r="M35">
        <v>5.25</v>
      </c>
      <c r="N35">
        <v>5.15</v>
      </c>
      <c r="O35">
        <v>5.45</v>
      </c>
      <c r="Q35" t="s">
        <v>77</v>
      </c>
      <c r="R35">
        <v>4.3</v>
      </c>
      <c r="S35">
        <v>4.5</v>
      </c>
      <c r="T35" t="s">
        <v>85</v>
      </c>
      <c r="U35">
        <v>4.55</v>
      </c>
      <c r="V35">
        <v>4.3</v>
      </c>
      <c r="W35">
        <v>4.55</v>
      </c>
      <c r="X35">
        <v>4.3</v>
      </c>
      <c r="Y35">
        <v>4.5</v>
      </c>
      <c r="AA35" t="s">
        <v>77</v>
      </c>
      <c r="AB35">
        <v>5.3</v>
      </c>
      <c r="AC35">
        <v>5.55</v>
      </c>
      <c r="AD35">
        <v>5.6</v>
      </c>
      <c r="AE35">
        <v>5.9</v>
      </c>
      <c r="AF35">
        <v>5.8</v>
      </c>
      <c r="AG35">
        <v>6.1</v>
      </c>
      <c r="AH35">
        <v>5.95</v>
      </c>
      <c r="AI35">
        <v>6.25</v>
      </c>
      <c r="AK35" t="s">
        <v>77</v>
      </c>
      <c r="AL35">
        <v>4.5</v>
      </c>
      <c r="AM35">
        <v>4.7</v>
      </c>
      <c r="AN35">
        <v>5.05</v>
      </c>
      <c r="AO35">
        <v>5.35</v>
      </c>
      <c r="AP35">
        <v>5.15</v>
      </c>
      <c r="AQ35">
        <v>5.4</v>
      </c>
      <c r="AR35">
        <v>5.15</v>
      </c>
      <c r="AS35">
        <v>5.4</v>
      </c>
    </row>
    <row r="36" spans="5:45" hidden="1" x14ac:dyDescent="0.2">
      <c r="G36" t="s">
        <v>46</v>
      </c>
      <c r="H36">
        <v>4.5</v>
      </c>
      <c r="I36">
        <v>4.7</v>
      </c>
      <c r="J36">
        <v>4.6500000000000004</v>
      </c>
      <c r="K36">
        <v>4.9000000000000004</v>
      </c>
      <c r="L36">
        <v>4.8499999999999996</v>
      </c>
      <c r="M36">
        <v>5.0999999999999996</v>
      </c>
      <c r="N36">
        <v>5</v>
      </c>
      <c r="O36">
        <v>5.3</v>
      </c>
      <c r="Q36" t="s">
        <v>46</v>
      </c>
      <c r="R36">
        <v>4.2</v>
      </c>
      <c r="S36">
        <v>4.3</v>
      </c>
      <c r="T36">
        <v>4.2</v>
      </c>
      <c r="U36">
        <v>4.45</v>
      </c>
      <c r="V36">
        <v>4.2</v>
      </c>
      <c r="W36">
        <v>4.45</v>
      </c>
      <c r="X36">
        <v>4.2</v>
      </c>
      <c r="Y36">
        <v>4.45</v>
      </c>
      <c r="AA36" t="s">
        <v>46</v>
      </c>
      <c r="AB36">
        <v>5.15</v>
      </c>
      <c r="AC36">
        <v>5.4</v>
      </c>
      <c r="AD36">
        <v>5.5</v>
      </c>
      <c r="AE36">
        <v>5.75</v>
      </c>
      <c r="AF36">
        <v>5.6</v>
      </c>
      <c r="AG36">
        <v>5.9</v>
      </c>
      <c r="AH36">
        <v>5.75</v>
      </c>
      <c r="AI36">
        <v>6.1</v>
      </c>
      <c r="AK36" t="s">
        <v>46</v>
      </c>
      <c r="AL36">
        <v>4.4000000000000004</v>
      </c>
      <c r="AM36">
        <v>4.5999999999999996</v>
      </c>
      <c r="AN36">
        <v>4.95</v>
      </c>
      <c r="AO36">
        <v>5.2</v>
      </c>
      <c r="AP36">
        <v>5.05</v>
      </c>
      <c r="AQ36">
        <v>5.3</v>
      </c>
      <c r="AR36">
        <v>5.05</v>
      </c>
      <c r="AS36">
        <v>5.3</v>
      </c>
    </row>
    <row r="37" spans="5:45" hidden="1" x14ac:dyDescent="0.2">
      <c r="G37" t="s">
        <v>82</v>
      </c>
      <c r="H37">
        <v>4.3499999999999996</v>
      </c>
      <c r="I37">
        <v>4.5999999999999996</v>
      </c>
      <c r="J37">
        <v>4.5</v>
      </c>
      <c r="K37">
        <v>4.8</v>
      </c>
      <c r="L37">
        <v>4.7</v>
      </c>
      <c r="M37">
        <v>5</v>
      </c>
      <c r="N37">
        <v>4.9000000000000004</v>
      </c>
      <c r="O37">
        <v>5.2</v>
      </c>
      <c r="Q37" t="s">
        <v>82</v>
      </c>
      <c r="R37">
        <v>4.05</v>
      </c>
      <c r="S37">
        <v>4.05</v>
      </c>
      <c r="T37">
        <v>4.0999999999999996</v>
      </c>
      <c r="U37">
        <v>4.3499999999999996</v>
      </c>
      <c r="V37">
        <v>4.1500000000000004</v>
      </c>
      <c r="W37">
        <v>4.3499999999999996</v>
      </c>
      <c r="X37">
        <v>4.1500000000000004</v>
      </c>
      <c r="Y37">
        <v>4.3499999999999996</v>
      </c>
      <c r="AA37" t="s">
        <v>82</v>
      </c>
      <c r="AB37">
        <v>5</v>
      </c>
      <c r="AC37">
        <v>5.3</v>
      </c>
      <c r="AD37">
        <f t="shared" ref="AD37" si="0">+(AD36+AD38)/2</f>
        <v>5.3</v>
      </c>
      <c r="AE37">
        <v>5.65</v>
      </c>
      <c r="AF37">
        <v>5.45</v>
      </c>
      <c r="AG37">
        <v>5.45</v>
      </c>
      <c r="AH37">
        <v>5.6</v>
      </c>
      <c r="AI37">
        <v>6</v>
      </c>
      <c r="AK37" t="s">
        <v>82</v>
      </c>
      <c r="AL37">
        <v>4.3</v>
      </c>
      <c r="AM37">
        <v>4.55</v>
      </c>
      <c r="AN37">
        <v>4.8499999999999996</v>
      </c>
      <c r="AO37">
        <v>5.15</v>
      </c>
      <c r="AP37">
        <v>4.95</v>
      </c>
      <c r="AQ37">
        <v>5.2</v>
      </c>
      <c r="AR37">
        <v>4.95</v>
      </c>
      <c r="AS37">
        <v>5.2</v>
      </c>
    </row>
    <row r="38" spans="5:45" hidden="1" x14ac:dyDescent="0.2">
      <c r="G38" t="s">
        <v>45</v>
      </c>
      <c r="H38">
        <v>4.0999999999999996</v>
      </c>
      <c r="I38">
        <v>4.4000000000000004</v>
      </c>
      <c r="J38">
        <v>4.3</v>
      </c>
      <c r="K38">
        <v>4.5999999999999996</v>
      </c>
      <c r="L38">
        <v>4.5</v>
      </c>
      <c r="M38">
        <v>4.8</v>
      </c>
      <c r="N38">
        <v>4.6500000000000004</v>
      </c>
      <c r="O38">
        <v>4.95</v>
      </c>
      <c r="Q38" t="s">
        <v>45</v>
      </c>
      <c r="R38">
        <v>3.65</v>
      </c>
      <c r="S38">
        <v>3.65</v>
      </c>
      <c r="T38">
        <v>3.95</v>
      </c>
      <c r="U38">
        <v>3.95</v>
      </c>
      <c r="V38">
        <v>4</v>
      </c>
      <c r="W38">
        <v>4.2</v>
      </c>
      <c r="X38">
        <v>4</v>
      </c>
      <c r="Y38">
        <v>4.2</v>
      </c>
      <c r="AA38" t="s">
        <v>45</v>
      </c>
      <c r="AB38">
        <v>4.75</v>
      </c>
      <c r="AC38">
        <v>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4.1500000000000004</v>
      </c>
      <c r="AM38">
        <v>4.25</v>
      </c>
      <c r="AN38">
        <v>4.6500000000000004</v>
      </c>
      <c r="AO38">
        <v>4.95</v>
      </c>
      <c r="AP38">
        <v>4.8</v>
      </c>
      <c r="AQ38">
        <v>5.05</v>
      </c>
      <c r="AR38">
        <v>4.8</v>
      </c>
      <c r="AS38">
        <v>5.05</v>
      </c>
    </row>
    <row r="39" spans="5:45" hidden="1" x14ac:dyDescent="0.2">
      <c r="G39" t="s">
        <v>68</v>
      </c>
      <c r="H39">
        <v>3.95</v>
      </c>
      <c r="I39">
        <v>4.25</v>
      </c>
      <c r="J39">
        <v>4.1500000000000004</v>
      </c>
      <c r="K39">
        <v>4.4000000000000004</v>
      </c>
      <c r="L39">
        <v>4.3</v>
      </c>
      <c r="M39">
        <v>4.55</v>
      </c>
      <c r="N39">
        <v>4.45</v>
      </c>
      <c r="O39">
        <v>4.75</v>
      </c>
      <c r="Q39" t="s">
        <v>68</v>
      </c>
      <c r="R39">
        <v>3.35</v>
      </c>
      <c r="S39">
        <v>3.35</v>
      </c>
      <c r="T39">
        <v>3.6</v>
      </c>
      <c r="U39">
        <v>3.6</v>
      </c>
      <c r="V39">
        <v>3.95</v>
      </c>
      <c r="W39">
        <v>3.95</v>
      </c>
      <c r="X39">
        <v>3.9</v>
      </c>
      <c r="Y39">
        <v>3.9</v>
      </c>
      <c r="AA39" t="s">
        <v>68</v>
      </c>
      <c r="AB39">
        <v>4.55</v>
      </c>
      <c r="AC39">
        <v>4.8</v>
      </c>
      <c r="AD39">
        <v>4.8499999999999996</v>
      </c>
      <c r="AE39">
        <v>5.25</v>
      </c>
      <c r="AF39">
        <v>5</v>
      </c>
      <c r="AG39">
        <v>5.4</v>
      </c>
      <c r="AH39">
        <v>5.2</v>
      </c>
      <c r="AI39">
        <v>5.55</v>
      </c>
      <c r="AK39" t="s">
        <v>68</v>
      </c>
      <c r="AL39">
        <v>3.9</v>
      </c>
      <c r="AM39">
        <v>3.9</v>
      </c>
      <c r="AN39">
        <v>4.5</v>
      </c>
      <c r="AO39">
        <v>4.75</v>
      </c>
      <c r="AP39">
        <v>4.6500000000000004</v>
      </c>
      <c r="AQ39">
        <v>4.9000000000000004</v>
      </c>
      <c r="AR39">
        <v>4.6500000000000004</v>
      </c>
      <c r="AS39">
        <v>4.9000000000000004</v>
      </c>
    </row>
    <row r="40" spans="5:45" hidden="1" x14ac:dyDescent="0.2">
      <c r="G40" t="s">
        <v>71</v>
      </c>
      <c r="H40" s="236">
        <v>205</v>
      </c>
      <c r="I40" s="236"/>
      <c r="J40" s="236">
        <v>229</v>
      </c>
      <c r="K40" s="236"/>
      <c r="L40" s="236">
        <v>251</v>
      </c>
      <c r="M40" s="236"/>
      <c r="N40" s="236">
        <v>274</v>
      </c>
      <c r="O40" s="236"/>
      <c r="R40" s="236">
        <v>194</v>
      </c>
      <c r="S40" s="236"/>
      <c r="T40" s="236">
        <v>217</v>
      </c>
      <c r="U40" s="236"/>
      <c r="V40" s="236">
        <v>240</v>
      </c>
      <c r="W40" s="236"/>
      <c r="X40" s="236">
        <v>263</v>
      </c>
      <c r="Y40" s="236"/>
      <c r="AB40" s="236">
        <v>238</v>
      </c>
      <c r="AC40" s="236"/>
      <c r="AD40" s="236">
        <v>259</v>
      </c>
      <c r="AE40" s="236"/>
      <c r="AF40" s="236">
        <v>282</v>
      </c>
      <c r="AG40" s="236"/>
      <c r="AH40" s="236">
        <v>305</v>
      </c>
      <c r="AI40" s="236"/>
      <c r="AL40" s="236">
        <v>225</v>
      </c>
      <c r="AM40" s="236"/>
      <c r="AN40" s="236">
        <v>259</v>
      </c>
      <c r="AO40" s="236"/>
      <c r="AP40" s="236">
        <v>282</v>
      </c>
      <c r="AQ40" s="236"/>
      <c r="AR40" s="236">
        <v>305</v>
      </c>
      <c r="AS40" s="236"/>
    </row>
    <row r="41" spans="5:45" hidden="1" x14ac:dyDescent="0.2">
      <c r="G41" t="s">
        <v>72</v>
      </c>
      <c r="H41" s="236">
        <v>71.5</v>
      </c>
      <c r="I41" s="236"/>
      <c r="J41" s="236">
        <v>81.5</v>
      </c>
      <c r="K41" s="236"/>
      <c r="L41" s="236">
        <v>91.5</v>
      </c>
      <c r="M41" s="236"/>
      <c r="N41" s="236">
        <v>101.5</v>
      </c>
      <c r="O41" s="236"/>
      <c r="R41" s="236">
        <v>68.5</v>
      </c>
      <c r="S41" s="236"/>
      <c r="T41" s="236">
        <v>78.5</v>
      </c>
      <c r="U41" s="236"/>
      <c r="V41" s="236">
        <v>88.5</v>
      </c>
      <c r="W41" s="236"/>
      <c r="X41" s="236">
        <v>98.5</v>
      </c>
      <c r="Y41" s="236"/>
      <c r="AB41" s="236">
        <v>82.5</v>
      </c>
      <c r="AC41" s="236"/>
      <c r="AD41" s="236">
        <v>88</v>
      </c>
      <c r="AE41" s="236"/>
      <c r="AF41" s="236">
        <v>97</v>
      </c>
      <c r="AG41" s="236"/>
      <c r="AH41" s="236">
        <v>107</v>
      </c>
      <c r="AI41" s="236"/>
      <c r="AL41" s="236">
        <v>82</v>
      </c>
      <c r="AM41" s="236"/>
      <c r="AN41" s="236">
        <v>88</v>
      </c>
      <c r="AO41" s="236"/>
      <c r="AP41" s="236">
        <v>97</v>
      </c>
      <c r="AQ41" s="236"/>
      <c r="AR41" s="236">
        <v>107</v>
      </c>
      <c r="AS41" s="236"/>
    </row>
    <row r="42" spans="5:45" hidden="1" x14ac:dyDescent="0.2">
      <c r="E42" t="s">
        <v>49</v>
      </c>
      <c r="G42" t="str">
        <f>+DIM!$AK$20&amp;"+"&amp;DIM!$S$14</f>
        <v>251+250</v>
      </c>
      <c r="H42" s="100">
        <f>+VLOOKUP($G$42,$G$16:$O$39,2,FALSE)</f>
        <v>4.75</v>
      </c>
      <c r="I42" s="100">
        <f>+VLOOKUP($G$42,$G$16:$O$39,3,FALSE)</f>
        <v>5.0999999999999996</v>
      </c>
      <c r="J42" s="100">
        <f>+VLOOKUP($G$42,$G$16:$O$39,4,FALSE)</f>
        <v>4.9000000000000004</v>
      </c>
      <c r="K42" s="100">
        <f>+VLOOKUP($G$42,$G$16:$O$39,5,FALSE)</f>
        <v>5.3</v>
      </c>
      <c r="L42" s="100">
        <f>+VLOOKUP($G$42,$G$16:$O$39,6,FALSE)</f>
        <v>5.0999999999999996</v>
      </c>
      <c r="M42" s="100">
        <f>+VLOOKUP($G$42,$G$16:$O$39,7,FALSE)</f>
        <v>5.5</v>
      </c>
      <c r="N42" s="100">
        <f>+VLOOKUP($G$42,$G$16:$O$39,8,FALSE)</f>
        <v>5.3</v>
      </c>
      <c r="O42" s="100">
        <f>+VLOOKUP($G$42,$G$16:$O$39,9,FALSE)</f>
        <v>5.7</v>
      </c>
      <c r="Q42" t="str">
        <f>+DIM!$AK$20&amp;"+"&amp;DIM!$S$14</f>
        <v>251+250</v>
      </c>
      <c r="R42" s="100">
        <f>+VLOOKUP($Q$42,$Q$14:$Y$39,2,FALSE)</f>
        <v>4.5</v>
      </c>
      <c r="S42" s="100">
        <f>+VLOOKUP($Q$42,$Q$14:$Y$39,3,FALSE)</f>
        <v>4.75</v>
      </c>
      <c r="T42" s="100">
        <f>+VLOOKUP($Q$42,$Q$14:$Y$39,4,FALSE)</f>
        <v>4.5</v>
      </c>
      <c r="U42" s="100">
        <f>+VLOOKUP($Q$42,$Q$14:$Y$39,5,FALSE)</f>
        <v>4.75</v>
      </c>
      <c r="V42" s="100">
        <f>+VLOOKUP($Q$42,$Q$14:$Y$39,6,FALSE)</f>
        <v>4.5</v>
      </c>
      <c r="W42" s="100">
        <f>+VLOOKUP($Q$42,$Q$14:$Y$39,7,FALSE)</f>
        <v>4.75</v>
      </c>
      <c r="X42" s="100">
        <f>+VLOOKUP($Q$42,$Q$14:$Y$39,8,FALSE)</f>
        <v>4.45</v>
      </c>
      <c r="Y42" s="100">
        <f>+VLOOKUP($Q$42,$Q$14:$Y$39,9,FALSE)</f>
        <v>4.7</v>
      </c>
      <c r="AA42" t="str">
        <f>+DIM!$AK$20&amp;"+"&amp;DIM!$S$14</f>
        <v>251+250</v>
      </c>
      <c r="AB42" s="100">
        <f>+VLOOKUP($AA$42,$AA$16:$AI$41,2,FALSE)</f>
        <v>5.45</v>
      </c>
      <c r="AC42" s="100">
        <f>+VLOOKUP($AA$42,$AA$16:$AI$41,3,FALSE)</f>
        <v>5.85</v>
      </c>
      <c r="AD42" s="100">
        <f>+VLOOKUP($AA$42,$AA$16:$AI$41,4,FALSE)</f>
        <v>5.8</v>
      </c>
      <c r="AE42" s="100">
        <f>+VLOOKUP($AA$42,$AA$16:$AI$41,5,FALSE)</f>
        <v>6.25</v>
      </c>
      <c r="AF42" s="100">
        <f>+VLOOKUP($AA$42,$AA$16:$AI$41,6,FALSE)</f>
        <v>5.9</v>
      </c>
      <c r="AG42" s="100">
        <f>+VLOOKUP($AA$42,$AA$16:$AI$41,7,FALSE)</f>
        <v>6.4</v>
      </c>
      <c r="AH42" s="100">
        <f>+VLOOKUP($AA$42,$AA$16:$AI$41,8,FALSE)</f>
        <v>6.1</v>
      </c>
      <c r="AI42" s="100">
        <f>+VLOOKUP($AA$42,$AA$16:$AI$41,9,FALSE)</f>
        <v>6.55</v>
      </c>
      <c r="AK42" t="str">
        <f>+DIM!$AK$20&amp;"+"&amp;DIM!$S$14</f>
        <v>251+250</v>
      </c>
      <c r="AL42" s="100">
        <f>+VLOOKUP($AK$42,$AK$16:$AS$41,2,FALSE)</f>
        <v>4.6500000000000004</v>
      </c>
      <c r="AM42" s="100">
        <f>+VLOOKUP($AK$42,$AK$16:$AS$41,3,FALSE)</f>
        <v>4.9000000000000004</v>
      </c>
      <c r="AN42" s="100">
        <f>+VLOOKUP($AK$42,$AK$16:$AS$41,4,FALSE)</f>
        <v>5.3</v>
      </c>
      <c r="AO42" s="100">
        <f>+VLOOKUP($AK$42,$AK$16:$AS$41,5,FALSE)</f>
        <v>5.6</v>
      </c>
      <c r="AP42" s="100">
        <f>+VLOOKUP($AK$42,$AK$16:$AS$41,6,FALSE)</f>
        <v>5.35</v>
      </c>
      <c r="AQ42" s="100">
        <f>+VLOOKUP($AK$42,$AK$16:$AS$41,7,FALSE)</f>
        <v>5.65</v>
      </c>
      <c r="AR42" s="100">
        <f>+VLOOKUP($AK$42,$AK$16:$AS$41,8,FALSE)</f>
        <v>5.35</v>
      </c>
      <c r="AS42" s="100">
        <f>+VLOOKUP($AK$42,$AK$16:$AS$41,9,FALSE)</f>
        <v>5.65</v>
      </c>
    </row>
    <row r="43" spans="5:45" hidden="1" x14ac:dyDescent="0.2">
      <c r="F43" t="s">
        <v>47</v>
      </c>
      <c r="G43" t="str">
        <f>+DIM!AD15</f>
        <v>1C</v>
      </c>
      <c r="H43" s="235">
        <f>+IF(DIM!$AD$15=H15,H42,I42)</f>
        <v>5.0999999999999996</v>
      </c>
      <c r="I43" s="235"/>
      <c r="J43" s="235">
        <f>+IF(DIM!$AD$15=J15,J42,K42)</f>
        <v>5.3</v>
      </c>
      <c r="K43" s="235"/>
      <c r="L43" s="235">
        <f>+IF(DIM!$AD$15=L15,L42,M42)</f>
        <v>5.5</v>
      </c>
      <c r="M43" s="235"/>
      <c r="N43" s="235">
        <f>+IF(DIM!$AD$15=N15,N42,O42)</f>
        <v>5.7</v>
      </c>
      <c r="O43" s="235"/>
      <c r="Q43" t="str">
        <f>+DIM!AD15</f>
        <v>1C</v>
      </c>
      <c r="R43" s="233">
        <f>+IF(DIM!$AD$15=plastivs!$H$15,plastivs!R42,plastivs!S42)</f>
        <v>4.75</v>
      </c>
      <c r="S43" s="234"/>
      <c r="T43" s="233">
        <f>+IF(DIM!$AD$15=plastivs!$H$15,plastivs!T42,plastivs!U42)</f>
        <v>4.75</v>
      </c>
      <c r="U43" s="234"/>
      <c r="V43" s="233">
        <f>+IF(DIM!$AD$15=plastivs!$H$15,plastivs!V42,plastivs!W42)</f>
        <v>4.75</v>
      </c>
      <c r="W43" s="234"/>
      <c r="X43" s="233">
        <f>+IF(DIM!$AD$15=plastivs!$H$15,plastivs!X42,plastivs!Y42)</f>
        <v>4.7</v>
      </c>
      <c r="Y43" s="234"/>
      <c r="AA43" t="str">
        <f>+DIM!AD15</f>
        <v>1C</v>
      </c>
      <c r="AB43" s="233">
        <f>+IF(DIM!$AD$15=plastivs!$H$15,plastivs!AB42,plastivs!AC42)</f>
        <v>5.85</v>
      </c>
      <c r="AC43" s="234"/>
      <c r="AD43" s="233">
        <f>+IF(DIM!$AD$15=plastivs!$H$15,plastivs!AD42,plastivs!AE42)</f>
        <v>6.25</v>
      </c>
      <c r="AE43" s="234"/>
      <c r="AF43" s="233">
        <f>+IF(DIM!$AD$15=plastivs!$H$15,plastivs!AF42,plastivs!AG42)</f>
        <v>6.4</v>
      </c>
      <c r="AG43" s="234"/>
      <c r="AH43" s="233">
        <f>+IF(DIM!$AD$15=plastivs!$H$15,plastivs!AH42,plastivs!AI42)</f>
        <v>6.55</v>
      </c>
      <c r="AI43" s="234"/>
      <c r="AK43" t="str">
        <f>+DIM!AD15</f>
        <v>1C</v>
      </c>
      <c r="AL43" s="233">
        <f>+IF(DIM!$AD$15=plastivs!$H$15,plastivs!AL42,plastivs!AM42)</f>
        <v>4.9000000000000004</v>
      </c>
      <c r="AM43" s="234"/>
      <c r="AN43" s="233">
        <f>+IF(DIM!$AD$15=plastivs!$H$15,plastivs!AN42,plastivs!AO42)</f>
        <v>5.6</v>
      </c>
      <c r="AO43" s="234"/>
      <c r="AP43" s="233">
        <f>+IF(DIM!$AD$15=plastivs!$H$15,plastivs!AP42,plastivs!AQ42)</f>
        <v>5.65</v>
      </c>
      <c r="AQ43" s="234"/>
      <c r="AR43" s="233">
        <f>+IF(DIM!$AD$15=plastivs!$H$15,plastivs!AR42,plastivs!AS42)</f>
        <v>5.65</v>
      </c>
      <c r="AS43" s="234"/>
    </row>
    <row r="44" spans="5:45" hidden="1" x14ac:dyDescent="0.2">
      <c r="F44" t="s">
        <v>48</v>
      </c>
      <c r="G44" s="101">
        <f>+DIM!S32</f>
        <v>5</v>
      </c>
      <c r="K44" s="102">
        <f>+HLOOKUP(G44,H14:O43,30,FALSE)</f>
        <v>5.0999999999999996</v>
      </c>
      <c r="Q44" s="101">
        <f>+DIM!S32</f>
        <v>5</v>
      </c>
      <c r="U44" s="102">
        <f>+HLOOKUP(Q44,R14:Y43,30,FALSE)</f>
        <v>4.75</v>
      </c>
      <c r="AA44" s="101">
        <f>+DIM!S32</f>
        <v>5</v>
      </c>
      <c r="AE44" s="102">
        <f>+HLOOKUP(AA44,AB14:AI43,30,FALSE)</f>
        <v>5.85</v>
      </c>
      <c r="AK44" s="101">
        <f>+AA44</f>
        <v>5</v>
      </c>
      <c r="AO44" s="102">
        <f>+HLOOKUP(AK44,AL14:AS43,30,FALSE)</f>
        <v>4.9000000000000004</v>
      </c>
    </row>
    <row r="45" spans="5:45" hidden="1" x14ac:dyDescent="0.2">
      <c r="E45">
        <f>+DIM!Q32</f>
        <v>15</v>
      </c>
      <c r="F45" t="s">
        <v>65</v>
      </c>
      <c r="K45" s="103" t="str">
        <f>+K10&amp;"+"&amp;G44</f>
        <v>12+5</v>
      </c>
      <c r="U45" s="103" t="str">
        <f>+U10&amp;"+"&amp;Q44</f>
        <v>12+5</v>
      </c>
      <c r="AE45" s="103" t="str">
        <f>+AE10&amp;"+"&amp;AA44</f>
        <v>15+5</v>
      </c>
      <c r="AO45" s="103" t="str">
        <f>+AO10&amp;"+"&amp;AK44</f>
        <v>15+5</v>
      </c>
    </row>
    <row r="46" spans="5:45" hidden="1" x14ac:dyDescent="0.2">
      <c r="F46" t="s">
        <v>66</v>
      </c>
      <c r="G46" t="str">
        <f>+DIM!S19</f>
        <v>avec etai</v>
      </c>
      <c r="K46" s="98">
        <f>+HLOOKUP(G44,H14:O40,27,FALSE)</f>
        <v>205</v>
      </c>
      <c r="U46" s="98">
        <f>+HLOOKUP(Q44,R14:Y40,27,FALSE)</f>
        <v>194</v>
      </c>
      <c r="AE46" s="98">
        <f>+HLOOKUP(AA44,AB14:AI40,27,FALSE)</f>
        <v>238</v>
      </c>
      <c r="AO46" s="98">
        <f>+HLOOKUP(AK44,AL14:AS40,27,FALSE)</f>
        <v>225</v>
      </c>
    </row>
    <row r="47" spans="5:45" hidden="1" x14ac:dyDescent="0.2">
      <c r="F47">
        <v>12</v>
      </c>
      <c r="G47">
        <f>+IF($G$46="avec etai",K44,U44)</f>
        <v>5.0999999999999996</v>
      </c>
      <c r="H47">
        <f>+IF($G$46="avec etai",K46,U46)</f>
        <v>205</v>
      </c>
      <c r="I47">
        <f>+IF($G$46="avec etai",K47,U47)</f>
        <v>71.5</v>
      </c>
      <c r="J47">
        <f>+IF($G$46="avec etai",K48,U48)</f>
        <v>23.1</v>
      </c>
      <c r="K47" s="98">
        <f>+HLOOKUP(G44,H14:O41,28,FALSE)</f>
        <v>71.5</v>
      </c>
      <c r="U47" s="98">
        <f>+HLOOKUP(Q44,R14:Y41,28,FALSE)</f>
        <v>68.5</v>
      </c>
      <c r="AE47" s="98">
        <f>+HLOOKUP(AA44,AB14:AI41,28,FALSE)</f>
        <v>82.5</v>
      </c>
      <c r="AO47" s="98">
        <f>+HLOOKUP(AK44,AL14:AS41,28,FALSE)</f>
        <v>82</v>
      </c>
    </row>
    <row r="48" spans="5:45" hidden="1" x14ac:dyDescent="0.2">
      <c r="F48">
        <v>15</v>
      </c>
      <c r="G48">
        <f>+IF($G$46="avec etai",AE44,AO44)</f>
        <v>5.85</v>
      </c>
      <c r="H48">
        <f>+IF($G$46="avec etai",AE46,AO46)</f>
        <v>238</v>
      </c>
      <c r="I48">
        <f>+IF($G$46="avec etai",AE47,AO47)</f>
        <v>82.5</v>
      </c>
      <c r="J48">
        <f>+IF($G$46="avec etai",AE48,AO48)</f>
        <v>25.74</v>
      </c>
      <c r="K48" s="98">
        <f>+HLOOKUP(K45,H113:O115,3,FALSE)</f>
        <v>23.1</v>
      </c>
      <c r="U48" s="98">
        <f>+HLOOKUP(U45,R113:Y115,3,FALSE)</f>
        <v>23.27</v>
      </c>
      <c r="AE48" s="98">
        <f>+HLOOKUP(AE45,AB113:AI115,3,FALSE)</f>
        <v>25.74</v>
      </c>
      <c r="AO48" s="98">
        <f>+HLOOKUP(AO45,AL113:AS115,3,FALSE)</f>
        <v>25.74</v>
      </c>
    </row>
    <row r="49" spans="4:65" ht="19.5" hidden="1" x14ac:dyDescent="0.35">
      <c r="F49">
        <v>20</v>
      </c>
      <c r="G49" t="s">
        <v>100</v>
      </c>
      <c r="K49" s="97">
        <v>12</v>
      </c>
      <c r="U49" s="97">
        <v>12</v>
      </c>
      <c r="AE49" s="97">
        <v>15</v>
      </c>
      <c r="AO49" s="97">
        <v>15</v>
      </c>
    </row>
    <row r="50" spans="4:65" hidden="1" x14ac:dyDescent="0.2">
      <c r="E50" t="s">
        <v>70</v>
      </c>
      <c r="F50" t="s">
        <v>74</v>
      </c>
      <c r="G50">
        <f>IF($E$45&gt;15,"--",+VLOOKUP(DIM!Q32,plastivs!F47:I49,2,FALSE))</f>
        <v>5.85</v>
      </c>
      <c r="K50" s="98" t="s">
        <v>78</v>
      </c>
      <c r="U50" s="98" t="s">
        <v>83</v>
      </c>
      <c r="AE50" s="98" t="s">
        <v>84</v>
      </c>
      <c r="AO50" s="98" t="s">
        <v>79</v>
      </c>
    </row>
    <row r="51" spans="4:65" hidden="1" x14ac:dyDescent="0.2">
      <c r="D51" s="98" t="s">
        <v>301</v>
      </c>
      <c r="F51" t="s">
        <v>75</v>
      </c>
      <c r="G51">
        <f>IF($E$45&gt;15,0,+VLOOKUP(DIM!Q32,plastivs!F47:I49,3,FALSE))</f>
        <v>238</v>
      </c>
    </row>
    <row r="52" spans="4:65" hidden="1" x14ac:dyDescent="0.2">
      <c r="D52" s="98" t="s">
        <v>88</v>
      </c>
      <c r="F52" t="s">
        <v>72</v>
      </c>
      <c r="G52">
        <f>IF($E$45&gt;15,0,+VLOOKUP(DIM!Q32,plastivs!F47:I49,4,FALSE))</f>
        <v>82.5</v>
      </c>
    </row>
    <row r="53" spans="4:65" hidden="1" x14ac:dyDescent="0.2">
      <c r="F53" t="s">
        <v>274</v>
      </c>
      <c r="G53">
        <f>IF($E$45&gt;15,0,+VLOOKUP(DIM!Q32,F47:J49,5,FALSE))</f>
        <v>25.74</v>
      </c>
    </row>
    <row r="54" spans="4:65" hidden="1" x14ac:dyDescent="0.2"/>
    <row r="55" spans="4:65" hidden="1" x14ac:dyDescent="0.2"/>
    <row r="56" spans="4:65" ht="19.5" hidden="1" x14ac:dyDescent="0.35">
      <c r="K56" s="97">
        <v>12</v>
      </c>
      <c r="L56" s="97" t="s">
        <v>87</v>
      </c>
      <c r="U56" s="97">
        <v>12</v>
      </c>
      <c r="V56" s="97" t="s">
        <v>87</v>
      </c>
      <c r="AE56" s="97">
        <v>15</v>
      </c>
      <c r="AF56" s="97" t="s">
        <v>87</v>
      </c>
      <c r="AO56" s="97">
        <v>15</v>
      </c>
      <c r="AP56" s="97" t="s">
        <v>87</v>
      </c>
    </row>
    <row r="57" spans="4:65" hidden="1" x14ac:dyDescent="0.2">
      <c r="K57" s="98" t="s">
        <v>78</v>
      </c>
      <c r="U57" s="98" t="s">
        <v>83</v>
      </c>
      <c r="AE57" s="98" t="s">
        <v>84</v>
      </c>
      <c r="AO57" s="98" t="s">
        <v>79</v>
      </c>
    </row>
    <row r="58" spans="4:65" hidden="1" x14ac:dyDescent="0.2">
      <c r="H58">
        <v>137</v>
      </c>
      <c r="J58">
        <v>1237</v>
      </c>
      <c r="R58">
        <v>937</v>
      </c>
      <c r="T58">
        <v>179</v>
      </c>
      <c r="V58">
        <v>189</v>
      </c>
      <c r="X58">
        <v>189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</row>
    <row r="59" spans="4:65" hidden="1" x14ac:dyDescent="0.2">
      <c r="H59" s="235" t="s">
        <v>302</v>
      </c>
      <c r="I59" s="235"/>
      <c r="J59" s="235" t="s">
        <v>303</v>
      </c>
      <c r="K59" s="235"/>
      <c r="L59" s="235" t="s">
        <v>304</v>
      </c>
      <c r="M59" s="235"/>
      <c r="N59" s="235" t="s">
        <v>305</v>
      </c>
      <c r="O59" s="235"/>
      <c r="R59" s="235" t="s">
        <v>302</v>
      </c>
      <c r="S59" s="235"/>
      <c r="T59" s="235" t="s">
        <v>303</v>
      </c>
      <c r="U59" s="235"/>
      <c r="V59" s="235" t="s">
        <v>304</v>
      </c>
      <c r="W59" s="235"/>
      <c r="X59" s="235" t="s">
        <v>305</v>
      </c>
      <c r="Y59" s="235"/>
      <c r="AB59" s="235" t="s">
        <v>306</v>
      </c>
      <c r="AC59" s="235"/>
      <c r="AD59" s="235" t="s">
        <v>307</v>
      </c>
      <c r="AE59" s="235"/>
      <c r="AF59" s="235" t="s">
        <v>308</v>
      </c>
      <c r="AG59" s="235"/>
      <c r="AH59" s="235" t="s">
        <v>309</v>
      </c>
      <c r="AI59" s="235"/>
      <c r="AL59" s="235" t="s">
        <v>306</v>
      </c>
      <c r="AM59" s="235"/>
      <c r="AN59" s="235" t="s">
        <v>307</v>
      </c>
      <c r="AO59" s="235"/>
      <c r="AP59" s="235" t="s">
        <v>308</v>
      </c>
      <c r="AQ59" s="235"/>
      <c r="AR59" s="235" t="s">
        <v>309</v>
      </c>
      <c r="AS59" s="235"/>
      <c r="AV59" s="235" t="s">
        <v>119</v>
      </c>
      <c r="AW59" s="235"/>
      <c r="AX59" s="235" t="s">
        <v>120</v>
      </c>
      <c r="AY59" s="235"/>
      <c r="AZ59" s="235" t="s">
        <v>121</v>
      </c>
      <c r="BA59" s="235"/>
      <c r="BB59" s="235" t="s">
        <v>122</v>
      </c>
      <c r="BC59" s="235"/>
      <c r="BF59" s="235" t="s">
        <v>119</v>
      </c>
      <c r="BG59" s="235"/>
      <c r="BH59" s="235" t="s">
        <v>120</v>
      </c>
      <c r="BI59" s="235"/>
      <c r="BJ59" s="235" t="s">
        <v>121</v>
      </c>
      <c r="BK59" s="235"/>
      <c r="BL59" s="235" t="s">
        <v>122</v>
      </c>
      <c r="BM59" s="235"/>
    </row>
    <row r="60" spans="4:65" hidden="1" x14ac:dyDescent="0.2">
      <c r="H60" s="235">
        <v>5</v>
      </c>
      <c r="I60" s="235"/>
      <c r="J60" s="235">
        <v>6</v>
      </c>
      <c r="K60" s="235"/>
      <c r="L60" s="235">
        <v>7</v>
      </c>
      <c r="M60" s="235"/>
      <c r="N60" s="235">
        <v>8</v>
      </c>
      <c r="O60" s="235"/>
      <c r="R60" s="235">
        <v>5</v>
      </c>
      <c r="S60" s="235"/>
      <c r="T60" s="235">
        <v>6</v>
      </c>
      <c r="U60" s="235"/>
      <c r="V60" s="235">
        <v>7</v>
      </c>
      <c r="W60" s="235"/>
      <c r="X60" s="235">
        <v>8</v>
      </c>
      <c r="Y60" s="235"/>
      <c r="AB60" s="235">
        <v>5</v>
      </c>
      <c r="AC60" s="235"/>
      <c r="AD60" s="235">
        <v>6</v>
      </c>
      <c r="AE60" s="235"/>
      <c r="AF60" s="235">
        <v>7</v>
      </c>
      <c r="AG60" s="235"/>
      <c r="AH60" s="235">
        <v>8</v>
      </c>
      <c r="AI60" s="235"/>
      <c r="AL60" s="235">
        <v>5</v>
      </c>
      <c r="AM60" s="235"/>
      <c r="AN60" s="235">
        <v>6</v>
      </c>
      <c r="AO60" s="235"/>
      <c r="AP60" s="235">
        <v>7</v>
      </c>
      <c r="AQ60" s="235"/>
      <c r="AR60" s="235">
        <v>8</v>
      </c>
      <c r="AS60" s="235"/>
    </row>
    <row r="61" spans="4:65" hidden="1" x14ac:dyDescent="0.2">
      <c r="H61" s="99" t="s">
        <v>24</v>
      </c>
      <c r="I61" s="99" t="s">
        <v>25</v>
      </c>
      <c r="J61" s="99" t="s">
        <v>24</v>
      </c>
      <c r="K61" s="99" t="s">
        <v>25</v>
      </c>
      <c r="L61" s="99" t="s">
        <v>24</v>
      </c>
      <c r="M61" s="99" t="s">
        <v>25</v>
      </c>
      <c r="N61" s="99" t="s">
        <v>24</v>
      </c>
      <c r="O61" s="99" t="s">
        <v>25</v>
      </c>
      <c r="R61" s="99" t="s">
        <v>24</v>
      </c>
      <c r="S61" s="99" t="s">
        <v>25</v>
      </c>
      <c r="T61" s="99" t="s">
        <v>24</v>
      </c>
      <c r="U61" s="99" t="s">
        <v>25</v>
      </c>
      <c r="V61" s="99" t="s">
        <v>24</v>
      </c>
      <c r="W61" s="99" t="s">
        <v>25</v>
      </c>
      <c r="X61" s="99" t="s">
        <v>24</v>
      </c>
      <c r="Y61" s="99" t="s">
        <v>25</v>
      </c>
      <c r="AB61" s="99" t="s">
        <v>24</v>
      </c>
      <c r="AC61" s="99" t="s">
        <v>25</v>
      </c>
      <c r="AD61" s="99" t="s">
        <v>24</v>
      </c>
      <c r="AE61" s="99" t="s">
        <v>25</v>
      </c>
      <c r="AF61" s="99" t="s">
        <v>24</v>
      </c>
      <c r="AG61" s="99" t="s">
        <v>25</v>
      </c>
      <c r="AH61" s="99" t="s">
        <v>24</v>
      </c>
      <c r="AI61" s="99" t="s">
        <v>25</v>
      </c>
      <c r="AL61" s="99" t="s">
        <v>24</v>
      </c>
      <c r="AM61" s="99" t="s">
        <v>25</v>
      </c>
      <c r="AN61" s="99" t="s">
        <v>24</v>
      </c>
      <c r="AO61" s="99" t="s">
        <v>25</v>
      </c>
      <c r="AP61" s="99" t="s">
        <v>24</v>
      </c>
      <c r="AQ61" s="99" t="s">
        <v>25</v>
      </c>
      <c r="AR61" s="99" t="s">
        <v>24</v>
      </c>
      <c r="AS61" s="99" t="s">
        <v>25</v>
      </c>
    </row>
    <row r="62" spans="4:65" hidden="1" x14ac:dyDescent="0.2">
      <c r="G62" t="s">
        <v>161</v>
      </c>
      <c r="H62">
        <v>6.9</v>
      </c>
      <c r="I62">
        <v>7.45</v>
      </c>
      <c r="J62">
        <v>7.1</v>
      </c>
      <c r="K62">
        <v>7.65</v>
      </c>
      <c r="L62">
        <v>7.3</v>
      </c>
      <c r="M62">
        <v>7.9</v>
      </c>
      <c r="N62">
        <v>7.5</v>
      </c>
      <c r="O62">
        <v>8.15</v>
      </c>
      <c r="Q62" t="s">
        <v>161</v>
      </c>
      <c r="R62">
        <v>6.7</v>
      </c>
      <c r="S62">
        <v>6.7</v>
      </c>
      <c r="T62">
        <v>7.05</v>
      </c>
      <c r="U62">
        <v>7.65</v>
      </c>
      <c r="V62">
        <v>7.6</v>
      </c>
      <c r="W62">
        <v>7.8</v>
      </c>
      <c r="X62">
        <v>7.6</v>
      </c>
      <c r="Y62">
        <v>7.6</v>
      </c>
      <c r="AA62" t="s">
        <v>161</v>
      </c>
      <c r="AB62">
        <v>7.8</v>
      </c>
      <c r="AC62">
        <v>8.4</v>
      </c>
      <c r="AD62">
        <v>8.3000000000000007</v>
      </c>
      <c r="AE62">
        <v>9</v>
      </c>
      <c r="AF62">
        <v>8.4</v>
      </c>
      <c r="AG62">
        <v>9</v>
      </c>
      <c r="AH62">
        <v>8.5500000000000007</v>
      </c>
      <c r="AI62">
        <v>9</v>
      </c>
      <c r="AK62" t="s">
        <v>161</v>
      </c>
      <c r="AL62">
        <v>6.4</v>
      </c>
      <c r="AM62">
        <v>6.4</v>
      </c>
      <c r="AN62">
        <v>7.65</v>
      </c>
      <c r="AO62">
        <v>7.65</v>
      </c>
      <c r="AP62">
        <v>7.45</v>
      </c>
      <c r="AQ62">
        <v>7.45</v>
      </c>
      <c r="AR62">
        <v>7.3</v>
      </c>
      <c r="AS62">
        <v>7.3</v>
      </c>
    </row>
    <row r="63" spans="4:65" hidden="1" x14ac:dyDescent="0.2">
      <c r="G63" t="s">
        <v>34</v>
      </c>
      <c r="H63">
        <v>6.5</v>
      </c>
      <c r="I63">
        <v>7</v>
      </c>
      <c r="J63">
        <v>6.7</v>
      </c>
      <c r="K63">
        <v>7.3</v>
      </c>
      <c r="L63">
        <f>0.25+J63</f>
        <v>6.95</v>
      </c>
      <c r="M63">
        <f>0.25+K63</f>
        <v>7.55</v>
      </c>
      <c r="N63">
        <f>0.2+L63</f>
        <v>7.15</v>
      </c>
      <c r="O63">
        <f>0.2+M63</f>
        <v>7.75</v>
      </c>
      <c r="Q63" t="s">
        <v>34</v>
      </c>
      <c r="R63">
        <v>6.5</v>
      </c>
      <c r="S63">
        <v>6.7</v>
      </c>
      <c r="T63">
        <v>7.05</v>
      </c>
      <c r="U63">
        <v>7.65</v>
      </c>
      <c r="V63">
        <v>7.2</v>
      </c>
      <c r="W63">
        <v>7.8</v>
      </c>
      <c r="X63">
        <f>0.2+V63</f>
        <v>7.4</v>
      </c>
      <c r="Y63">
        <v>7.6</v>
      </c>
      <c r="AA63" t="s">
        <v>34</v>
      </c>
      <c r="AB63">
        <f t="shared" ref="AB63" si="1">+AD63-0.2</f>
        <v>8.1000000000000014</v>
      </c>
      <c r="AC63">
        <f t="shared" ref="AC63" si="2">+AE63-0.2</f>
        <v>8.8000000000000007</v>
      </c>
      <c r="AD63">
        <v>8.3000000000000007</v>
      </c>
      <c r="AE63">
        <v>9</v>
      </c>
      <c r="AF63">
        <v>8.4</v>
      </c>
      <c r="AG63">
        <v>9</v>
      </c>
      <c r="AH63">
        <v>8.5500000000000007</v>
      </c>
      <c r="AI63">
        <v>9</v>
      </c>
      <c r="AK63" t="s">
        <v>34</v>
      </c>
      <c r="AL63">
        <v>6.4</v>
      </c>
      <c r="AM63">
        <v>6.4</v>
      </c>
      <c r="AN63">
        <v>7.65</v>
      </c>
      <c r="AO63">
        <v>7.65</v>
      </c>
      <c r="AP63">
        <v>7.3</v>
      </c>
      <c r="AQ63">
        <v>7.45</v>
      </c>
      <c r="AR63">
        <v>7.3</v>
      </c>
      <c r="AS63">
        <v>7.3</v>
      </c>
    </row>
    <row r="64" spans="4:65" hidden="1" x14ac:dyDescent="0.2">
      <c r="G64" t="s">
        <v>35</v>
      </c>
      <c r="H64">
        <v>6.15</v>
      </c>
      <c r="I64">
        <v>6.7</v>
      </c>
      <c r="J64">
        <v>6.4</v>
      </c>
      <c r="K64">
        <v>7</v>
      </c>
      <c r="L64">
        <f t="shared" ref="L64:L85" si="3">0.25+J64</f>
        <v>6.65</v>
      </c>
      <c r="M64">
        <f t="shared" ref="M64:M85" si="4">0.25+K64</f>
        <v>7.25</v>
      </c>
      <c r="N64">
        <f t="shared" ref="N64:N85" si="5">0.2+L64</f>
        <v>6.8500000000000005</v>
      </c>
      <c r="O64">
        <f t="shared" ref="O64:O85" si="6">0.2+M64</f>
        <v>7.45</v>
      </c>
      <c r="Q64" t="s">
        <v>35</v>
      </c>
      <c r="R64">
        <v>6.2</v>
      </c>
      <c r="S64">
        <v>6.7</v>
      </c>
      <c r="T64">
        <v>6.7</v>
      </c>
      <c r="U64">
        <v>7.3</v>
      </c>
      <c r="V64">
        <v>6.9</v>
      </c>
      <c r="W64">
        <v>7.5</v>
      </c>
      <c r="X64">
        <f t="shared" ref="X64:Y85" si="7">0.2+V64</f>
        <v>7.1000000000000005</v>
      </c>
      <c r="Y64">
        <f t="shared" si="7"/>
        <v>7.7</v>
      </c>
      <c r="AA64" t="s">
        <v>35</v>
      </c>
      <c r="AB64">
        <f t="shared" ref="AB64:AB85" si="8">+AD64-0.2</f>
        <v>6.9999999999999991</v>
      </c>
      <c r="AC64">
        <f t="shared" ref="AC64:AC85" si="9">+AE64-0.2</f>
        <v>7.7000000000000011</v>
      </c>
      <c r="AD64">
        <f t="shared" ref="AD64:AD85" si="10">+AF64-0.2</f>
        <v>7.1999999999999993</v>
      </c>
      <c r="AE64">
        <f t="shared" ref="AE64:AE85" si="11">+AG64-0.2</f>
        <v>7.9000000000000012</v>
      </c>
      <c r="AF64">
        <f t="shared" ref="AF64:AF85" si="12">+AH64-0.2</f>
        <v>7.3999999999999995</v>
      </c>
      <c r="AG64">
        <f t="shared" ref="AG64:AG85" si="13">+AI64-0.2</f>
        <v>8.1000000000000014</v>
      </c>
      <c r="AH64">
        <v>7.6</v>
      </c>
      <c r="AI64">
        <v>8.3000000000000007</v>
      </c>
      <c r="AK64" t="s">
        <v>35</v>
      </c>
      <c r="AL64">
        <v>6.4</v>
      </c>
      <c r="AM64">
        <v>6.4</v>
      </c>
      <c r="AN64">
        <v>7.2</v>
      </c>
      <c r="AO64">
        <v>7.6</v>
      </c>
      <c r="AP64">
        <v>7.1</v>
      </c>
      <c r="AQ64">
        <v>7.45</v>
      </c>
      <c r="AR64">
        <v>7.3</v>
      </c>
      <c r="AS64">
        <v>7.3</v>
      </c>
    </row>
    <row r="65" spans="7:45" hidden="1" x14ac:dyDescent="0.2">
      <c r="G65" t="s">
        <v>36</v>
      </c>
      <c r="H65">
        <v>5.9</v>
      </c>
      <c r="I65">
        <v>6.45</v>
      </c>
      <c r="J65">
        <v>6.1</v>
      </c>
      <c r="K65">
        <v>6.75</v>
      </c>
      <c r="L65">
        <f t="shared" si="3"/>
        <v>6.35</v>
      </c>
      <c r="M65">
        <f t="shared" si="4"/>
        <v>7</v>
      </c>
      <c r="N65">
        <f t="shared" si="5"/>
        <v>6.55</v>
      </c>
      <c r="O65">
        <f t="shared" si="6"/>
        <v>7.2</v>
      </c>
      <c r="Q65" t="s">
        <v>36</v>
      </c>
      <c r="R65">
        <v>5.95</v>
      </c>
      <c r="S65">
        <v>6.5</v>
      </c>
      <c r="T65">
        <v>6.4</v>
      </c>
      <c r="U65">
        <v>7</v>
      </c>
      <c r="V65">
        <v>5.6</v>
      </c>
      <c r="W65">
        <v>7.2</v>
      </c>
      <c r="X65">
        <f t="shared" si="7"/>
        <v>5.8</v>
      </c>
      <c r="Y65">
        <f t="shared" si="7"/>
        <v>7.4</v>
      </c>
      <c r="AA65" t="s">
        <v>36</v>
      </c>
      <c r="AB65">
        <f t="shared" si="8"/>
        <v>6.6999999999999993</v>
      </c>
      <c r="AC65">
        <f t="shared" si="9"/>
        <v>7.3999999999999995</v>
      </c>
      <c r="AD65">
        <f t="shared" si="10"/>
        <v>6.8999999999999995</v>
      </c>
      <c r="AE65">
        <f t="shared" si="11"/>
        <v>7.6</v>
      </c>
      <c r="AF65">
        <f t="shared" si="12"/>
        <v>7.1</v>
      </c>
      <c r="AG65">
        <f t="shared" si="13"/>
        <v>7.8</v>
      </c>
      <c r="AH65">
        <v>7.3</v>
      </c>
      <c r="AI65">
        <v>8</v>
      </c>
      <c r="AK65" t="s">
        <v>36</v>
      </c>
      <c r="AL65">
        <v>6.2</v>
      </c>
      <c r="AM65">
        <v>6.4</v>
      </c>
      <c r="AN65">
        <v>7</v>
      </c>
      <c r="AO65">
        <v>7.4</v>
      </c>
      <c r="AP65">
        <v>6.9</v>
      </c>
      <c r="AQ65">
        <v>7.3</v>
      </c>
      <c r="AR65">
        <v>7</v>
      </c>
      <c r="AS65">
        <v>7.3</v>
      </c>
    </row>
    <row r="66" spans="7:45" hidden="1" x14ac:dyDescent="0.2">
      <c r="G66" t="s">
        <v>37</v>
      </c>
      <c r="H66">
        <v>5.65</v>
      </c>
      <c r="I66">
        <v>6.2</v>
      </c>
      <c r="J66">
        <v>5.85</v>
      </c>
      <c r="K66">
        <v>6.5</v>
      </c>
      <c r="L66">
        <f t="shared" si="3"/>
        <v>6.1</v>
      </c>
      <c r="M66">
        <f t="shared" si="4"/>
        <v>6.75</v>
      </c>
      <c r="N66">
        <f t="shared" si="5"/>
        <v>6.3</v>
      </c>
      <c r="O66">
        <f t="shared" si="6"/>
        <v>6.95</v>
      </c>
      <c r="Q66" t="s">
        <v>37</v>
      </c>
      <c r="R66">
        <v>5.7</v>
      </c>
      <c r="S66">
        <v>6.25</v>
      </c>
      <c r="T66">
        <v>6.15</v>
      </c>
      <c r="U66">
        <v>6.75</v>
      </c>
      <c r="V66">
        <v>6.35</v>
      </c>
      <c r="W66">
        <v>6.95</v>
      </c>
      <c r="X66">
        <f t="shared" si="7"/>
        <v>6.55</v>
      </c>
      <c r="Y66">
        <f t="shared" si="7"/>
        <v>7.15</v>
      </c>
      <c r="AA66" t="s">
        <v>37</v>
      </c>
      <c r="AB66">
        <f t="shared" si="8"/>
        <v>6.4499999999999993</v>
      </c>
      <c r="AC66">
        <f t="shared" si="9"/>
        <v>7.1499999999999995</v>
      </c>
      <c r="AD66">
        <f t="shared" si="10"/>
        <v>6.6499999999999995</v>
      </c>
      <c r="AE66">
        <f t="shared" si="11"/>
        <v>7.35</v>
      </c>
      <c r="AF66">
        <f t="shared" si="12"/>
        <v>6.85</v>
      </c>
      <c r="AG66">
        <f t="shared" si="13"/>
        <v>7.55</v>
      </c>
      <c r="AH66">
        <v>7.05</v>
      </c>
      <c r="AI66">
        <v>7.75</v>
      </c>
      <c r="AK66" t="s">
        <v>37</v>
      </c>
      <c r="AL66">
        <v>6.1</v>
      </c>
      <c r="AM66">
        <v>6.4</v>
      </c>
      <c r="AN66">
        <v>6.7</v>
      </c>
      <c r="AO66">
        <v>7.25</v>
      </c>
      <c r="AP66">
        <v>6.75</v>
      </c>
      <c r="AQ66">
        <v>7.1</v>
      </c>
      <c r="AR66">
        <v>6.8</v>
      </c>
      <c r="AS66">
        <v>7.2</v>
      </c>
    </row>
    <row r="67" spans="7:45" hidden="1" x14ac:dyDescent="0.2">
      <c r="G67" t="s">
        <v>80</v>
      </c>
      <c r="H67">
        <v>5.45</v>
      </c>
      <c r="I67">
        <v>6</v>
      </c>
      <c r="J67">
        <v>5.65</v>
      </c>
      <c r="K67">
        <v>6.3</v>
      </c>
      <c r="L67">
        <f t="shared" si="3"/>
        <v>5.9</v>
      </c>
      <c r="M67">
        <f t="shared" si="4"/>
        <v>6.55</v>
      </c>
      <c r="N67">
        <f t="shared" si="5"/>
        <v>6.1000000000000005</v>
      </c>
      <c r="O67">
        <f t="shared" si="6"/>
        <v>6.75</v>
      </c>
      <c r="Q67" t="s">
        <v>80</v>
      </c>
      <c r="R67">
        <v>5.5</v>
      </c>
      <c r="S67">
        <v>6.05</v>
      </c>
      <c r="T67">
        <v>5.95</v>
      </c>
      <c r="U67">
        <v>6.55</v>
      </c>
      <c r="V67">
        <v>6.05</v>
      </c>
      <c r="W67">
        <v>6.75</v>
      </c>
      <c r="X67">
        <f t="shared" si="7"/>
        <v>6.25</v>
      </c>
      <c r="Y67">
        <f t="shared" si="7"/>
        <v>6.95</v>
      </c>
      <c r="AA67" t="s">
        <v>80</v>
      </c>
      <c r="AB67">
        <f t="shared" si="8"/>
        <v>6.2499999999999991</v>
      </c>
      <c r="AC67">
        <f t="shared" si="9"/>
        <v>6.9499999999999993</v>
      </c>
      <c r="AD67">
        <f t="shared" si="10"/>
        <v>6.4499999999999993</v>
      </c>
      <c r="AE67">
        <f t="shared" si="11"/>
        <v>7.1499999999999995</v>
      </c>
      <c r="AF67">
        <f t="shared" si="12"/>
        <v>6.6499999999999995</v>
      </c>
      <c r="AG67">
        <f t="shared" si="13"/>
        <v>7.35</v>
      </c>
      <c r="AH67">
        <v>6.85</v>
      </c>
      <c r="AI67">
        <v>7.55</v>
      </c>
      <c r="AK67" t="s">
        <v>80</v>
      </c>
      <c r="AL67">
        <v>6</v>
      </c>
      <c r="AM67">
        <v>6.3</v>
      </c>
      <c r="AN67">
        <v>6.5</v>
      </c>
      <c r="AO67">
        <v>7.05</v>
      </c>
      <c r="AP67">
        <v>6.6</v>
      </c>
      <c r="AQ67">
        <v>6.95</v>
      </c>
      <c r="AR67">
        <v>6.65</v>
      </c>
      <c r="AS67">
        <v>7</v>
      </c>
    </row>
    <row r="68" spans="7:45" hidden="1" x14ac:dyDescent="0.2">
      <c r="G68" t="s">
        <v>38</v>
      </c>
      <c r="H68">
        <v>5.15</v>
      </c>
      <c r="I68">
        <v>5.65</v>
      </c>
      <c r="J68">
        <v>5.35</v>
      </c>
      <c r="K68">
        <v>5.95</v>
      </c>
      <c r="L68">
        <f t="shared" si="3"/>
        <v>5.6</v>
      </c>
      <c r="M68">
        <f t="shared" si="4"/>
        <v>6.2</v>
      </c>
      <c r="N68">
        <f t="shared" si="5"/>
        <v>5.8</v>
      </c>
      <c r="O68">
        <f t="shared" si="6"/>
        <v>6.4</v>
      </c>
      <c r="Q68" t="s">
        <v>38</v>
      </c>
      <c r="R68">
        <v>5.0999999999999996</v>
      </c>
      <c r="S68">
        <v>5.65</v>
      </c>
      <c r="T68">
        <v>5.55</v>
      </c>
      <c r="U68">
        <v>6.15</v>
      </c>
      <c r="V68">
        <v>5.75</v>
      </c>
      <c r="W68">
        <v>6.35</v>
      </c>
      <c r="X68">
        <f t="shared" si="7"/>
        <v>5.95</v>
      </c>
      <c r="Y68">
        <f t="shared" si="7"/>
        <v>6.55</v>
      </c>
      <c r="AA68" t="s">
        <v>38</v>
      </c>
      <c r="AB68">
        <f t="shared" si="8"/>
        <v>5.85</v>
      </c>
      <c r="AC68">
        <f t="shared" si="9"/>
        <v>6.55</v>
      </c>
      <c r="AD68">
        <f t="shared" si="10"/>
        <v>6.05</v>
      </c>
      <c r="AE68">
        <f t="shared" si="11"/>
        <v>6.75</v>
      </c>
      <c r="AF68">
        <f t="shared" si="12"/>
        <v>6.25</v>
      </c>
      <c r="AG68">
        <f t="shared" si="13"/>
        <v>6.95</v>
      </c>
      <c r="AH68">
        <v>6.45</v>
      </c>
      <c r="AI68">
        <v>7.15</v>
      </c>
      <c r="AK68" t="s">
        <v>38</v>
      </c>
      <c r="AL68">
        <v>5.7</v>
      </c>
      <c r="AM68">
        <v>6</v>
      </c>
      <c r="AN68">
        <v>6.1</v>
      </c>
      <c r="AO68">
        <v>6.65</v>
      </c>
      <c r="AP68">
        <v>6.3</v>
      </c>
      <c r="AQ68">
        <v>6.6</v>
      </c>
      <c r="AR68">
        <v>6.35</v>
      </c>
      <c r="AS68">
        <v>6.7</v>
      </c>
    </row>
    <row r="69" spans="7:45" hidden="1" x14ac:dyDescent="0.2">
      <c r="G69" t="s">
        <v>39</v>
      </c>
      <c r="H69">
        <v>4.8499999999999996</v>
      </c>
      <c r="I69">
        <v>5.4</v>
      </c>
      <c r="J69">
        <v>5.05</v>
      </c>
      <c r="K69">
        <v>5.35</v>
      </c>
      <c r="L69">
        <f t="shared" si="3"/>
        <v>5.3</v>
      </c>
      <c r="M69">
        <f t="shared" si="4"/>
        <v>5.6</v>
      </c>
      <c r="N69">
        <f t="shared" si="5"/>
        <v>5.5</v>
      </c>
      <c r="O69">
        <f t="shared" si="6"/>
        <v>5.8</v>
      </c>
      <c r="Q69" t="s">
        <v>39</v>
      </c>
      <c r="R69">
        <v>4.8499999999999996</v>
      </c>
      <c r="S69">
        <v>5.4</v>
      </c>
      <c r="T69">
        <v>5.25</v>
      </c>
      <c r="U69">
        <v>5.85</v>
      </c>
      <c r="V69">
        <v>5.45</v>
      </c>
      <c r="W69">
        <v>6.05</v>
      </c>
      <c r="X69">
        <f t="shared" si="7"/>
        <v>5.65</v>
      </c>
      <c r="Y69">
        <f t="shared" si="7"/>
        <v>6.25</v>
      </c>
      <c r="AA69" t="s">
        <v>39</v>
      </c>
      <c r="AB69">
        <f t="shared" si="8"/>
        <v>5.55</v>
      </c>
      <c r="AC69">
        <f t="shared" si="9"/>
        <v>6.1999999999999993</v>
      </c>
      <c r="AD69">
        <f t="shared" si="10"/>
        <v>5.75</v>
      </c>
      <c r="AE69">
        <f t="shared" si="11"/>
        <v>6.3999999999999995</v>
      </c>
      <c r="AF69">
        <f t="shared" si="12"/>
        <v>5.95</v>
      </c>
      <c r="AG69">
        <f t="shared" si="13"/>
        <v>6.6</v>
      </c>
      <c r="AH69">
        <v>6.15</v>
      </c>
      <c r="AI69">
        <v>6.8</v>
      </c>
      <c r="AK69" t="s">
        <v>39</v>
      </c>
      <c r="AL69">
        <v>5.45</v>
      </c>
      <c r="AM69">
        <v>5.75</v>
      </c>
      <c r="AN69">
        <v>5.75</v>
      </c>
      <c r="AO69">
        <v>6.35</v>
      </c>
      <c r="AP69">
        <v>6</v>
      </c>
      <c r="AQ69">
        <v>6.35</v>
      </c>
      <c r="AR69">
        <v>6.1</v>
      </c>
      <c r="AS69">
        <v>6.45</v>
      </c>
    </row>
    <row r="70" spans="7:45" hidden="1" x14ac:dyDescent="0.2">
      <c r="G70" t="s">
        <v>162</v>
      </c>
      <c r="H70">
        <v>6.4</v>
      </c>
      <c r="I70">
        <v>6.75</v>
      </c>
      <c r="J70">
        <v>6.6</v>
      </c>
      <c r="K70">
        <v>7</v>
      </c>
      <c r="L70">
        <v>6.8</v>
      </c>
      <c r="M70">
        <v>7.25</v>
      </c>
      <c r="N70">
        <v>7</v>
      </c>
      <c r="O70">
        <v>7.45</v>
      </c>
      <c r="Q70" t="s">
        <v>162</v>
      </c>
      <c r="R70">
        <v>6.4</v>
      </c>
      <c r="S70">
        <v>6.7</v>
      </c>
      <c r="T70">
        <v>6.95</v>
      </c>
      <c r="U70">
        <v>7.35</v>
      </c>
      <c r="V70">
        <v>7.1</v>
      </c>
      <c r="W70">
        <v>7.55</v>
      </c>
      <c r="X70">
        <v>7.6</v>
      </c>
      <c r="Y70">
        <v>7.6</v>
      </c>
      <c r="AA70" t="s">
        <v>162</v>
      </c>
      <c r="AB70">
        <v>7.25</v>
      </c>
      <c r="AC70">
        <v>7.7</v>
      </c>
      <c r="AD70">
        <v>7.75</v>
      </c>
      <c r="AE70">
        <v>8.1999999999999993</v>
      </c>
      <c r="AF70">
        <v>7.9</v>
      </c>
      <c r="AG70">
        <v>8.35</v>
      </c>
      <c r="AH70">
        <v>8</v>
      </c>
      <c r="AI70">
        <v>8.5500000000000007</v>
      </c>
      <c r="AK70" t="s">
        <v>162</v>
      </c>
      <c r="AL70">
        <v>6.4</v>
      </c>
      <c r="AM70">
        <v>6.4</v>
      </c>
      <c r="AN70">
        <v>7.2</v>
      </c>
      <c r="AO70">
        <v>7.6</v>
      </c>
      <c r="AP70">
        <v>7.2</v>
      </c>
      <c r="AQ70">
        <v>7.3</v>
      </c>
      <c r="AR70">
        <v>7.2</v>
      </c>
      <c r="AS70">
        <v>7.3</v>
      </c>
    </row>
    <row r="71" spans="7:45" hidden="1" x14ac:dyDescent="0.2">
      <c r="G71" t="s">
        <v>40</v>
      </c>
      <c r="H71">
        <v>6.1</v>
      </c>
      <c r="I71">
        <v>6.45</v>
      </c>
      <c r="J71">
        <v>6.3</v>
      </c>
      <c r="K71">
        <v>6.75</v>
      </c>
      <c r="L71">
        <f t="shared" si="3"/>
        <v>6.55</v>
      </c>
      <c r="M71">
        <f t="shared" si="4"/>
        <v>7</v>
      </c>
      <c r="N71">
        <f t="shared" si="5"/>
        <v>6.75</v>
      </c>
      <c r="O71">
        <f t="shared" si="6"/>
        <v>7.2</v>
      </c>
      <c r="Q71" t="s">
        <v>40</v>
      </c>
      <c r="R71">
        <v>6.15</v>
      </c>
      <c r="S71">
        <v>6.5</v>
      </c>
      <c r="T71">
        <v>6.6</v>
      </c>
      <c r="U71">
        <v>7.05</v>
      </c>
      <c r="V71">
        <v>6.8</v>
      </c>
      <c r="W71">
        <v>7.25</v>
      </c>
      <c r="X71">
        <f t="shared" si="7"/>
        <v>7</v>
      </c>
      <c r="Y71">
        <f t="shared" si="7"/>
        <v>7.45</v>
      </c>
      <c r="AA71" t="s">
        <v>40</v>
      </c>
      <c r="AB71">
        <f t="shared" si="8"/>
        <v>6.8999999999999995</v>
      </c>
      <c r="AC71">
        <v>7.4</v>
      </c>
      <c r="AD71">
        <f t="shared" si="10"/>
        <v>7.1</v>
      </c>
      <c r="AE71">
        <f t="shared" si="11"/>
        <v>7.65</v>
      </c>
      <c r="AF71">
        <f t="shared" si="12"/>
        <v>7.3</v>
      </c>
      <c r="AG71">
        <f t="shared" si="13"/>
        <v>7.8500000000000005</v>
      </c>
      <c r="AH71">
        <v>7.5</v>
      </c>
      <c r="AI71">
        <v>8.0500000000000007</v>
      </c>
      <c r="AK71" t="s">
        <v>40</v>
      </c>
      <c r="AL71">
        <v>6.2</v>
      </c>
      <c r="AM71">
        <v>6.4</v>
      </c>
      <c r="AN71">
        <v>7.1</v>
      </c>
      <c r="AO71">
        <v>7.45</v>
      </c>
      <c r="AP71">
        <v>6.95</v>
      </c>
      <c r="AQ71">
        <v>7.3</v>
      </c>
      <c r="AR71">
        <f>0.1+AP71</f>
        <v>7.05</v>
      </c>
      <c r="AS71">
        <v>7.3</v>
      </c>
    </row>
    <row r="72" spans="7:45" hidden="1" x14ac:dyDescent="0.2">
      <c r="G72" t="s">
        <v>41</v>
      </c>
      <c r="H72">
        <v>5.8</v>
      </c>
      <c r="I72">
        <v>6.2</v>
      </c>
      <c r="J72">
        <v>6.05</v>
      </c>
      <c r="K72">
        <v>6.5</v>
      </c>
      <c r="L72">
        <f t="shared" si="3"/>
        <v>6.3</v>
      </c>
      <c r="M72">
        <f t="shared" si="4"/>
        <v>6.75</v>
      </c>
      <c r="N72">
        <f t="shared" si="5"/>
        <v>6.5</v>
      </c>
      <c r="O72">
        <f t="shared" si="6"/>
        <v>6.95</v>
      </c>
      <c r="Q72" t="s">
        <v>41</v>
      </c>
      <c r="R72">
        <v>5.85</v>
      </c>
      <c r="S72">
        <v>6.25</v>
      </c>
      <c r="T72">
        <v>6.3</v>
      </c>
      <c r="U72">
        <v>6.8</v>
      </c>
      <c r="V72">
        <v>6.5</v>
      </c>
      <c r="W72">
        <v>7</v>
      </c>
      <c r="X72">
        <f t="shared" si="7"/>
        <v>6.7</v>
      </c>
      <c r="Y72">
        <f t="shared" si="7"/>
        <v>7.2</v>
      </c>
      <c r="AA72" t="s">
        <v>41</v>
      </c>
      <c r="AB72">
        <f t="shared" si="8"/>
        <v>6.6</v>
      </c>
      <c r="AC72">
        <f t="shared" si="9"/>
        <v>7.1499999999999995</v>
      </c>
      <c r="AD72">
        <f t="shared" si="10"/>
        <v>6.8</v>
      </c>
      <c r="AE72">
        <f t="shared" si="11"/>
        <v>7.35</v>
      </c>
      <c r="AF72">
        <f t="shared" si="12"/>
        <v>7</v>
      </c>
      <c r="AG72">
        <f t="shared" si="13"/>
        <v>7.55</v>
      </c>
      <c r="AH72">
        <v>7.2</v>
      </c>
      <c r="AI72">
        <v>7.75</v>
      </c>
      <c r="AK72" t="s">
        <v>41</v>
      </c>
      <c r="AL72">
        <v>6.1</v>
      </c>
      <c r="AM72">
        <v>6.4</v>
      </c>
      <c r="AN72">
        <v>6.85</v>
      </c>
      <c r="AO72">
        <v>7.25</v>
      </c>
      <c r="AP72">
        <v>6.8</v>
      </c>
      <c r="AQ72">
        <v>7.15</v>
      </c>
      <c r="AR72">
        <f t="shared" ref="AR72:AR85" si="14">0.1+AP72</f>
        <v>6.8999999999999995</v>
      </c>
      <c r="AS72">
        <f t="shared" ref="AS72:AS85" si="15">0.1+AQ72</f>
        <v>7.25</v>
      </c>
    </row>
    <row r="73" spans="7:45" hidden="1" x14ac:dyDescent="0.2">
      <c r="G73" t="s">
        <v>42</v>
      </c>
      <c r="H73">
        <v>5.6</v>
      </c>
      <c r="I73">
        <v>6</v>
      </c>
      <c r="J73">
        <v>5.8</v>
      </c>
      <c r="K73">
        <v>6.3</v>
      </c>
      <c r="L73">
        <f t="shared" si="3"/>
        <v>6.05</v>
      </c>
      <c r="M73">
        <f t="shared" si="4"/>
        <v>6.55</v>
      </c>
      <c r="N73">
        <f t="shared" si="5"/>
        <v>6.25</v>
      </c>
      <c r="O73">
        <f t="shared" si="6"/>
        <v>6.75</v>
      </c>
      <c r="Q73" t="s">
        <v>42</v>
      </c>
      <c r="R73">
        <v>5.6</v>
      </c>
      <c r="S73">
        <v>6.05</v>
      </c>
      <c r="T73">
        <v>6.1</v>
      </c>
      <c r="U73">
        <v>6.55</v>
      </c>
      <c r="V73">
        <v>6.3</v>
      </c>
      <c r="W73">
        <v>6.75</v>
      </c>
      <c r="X73">
        <f t="shared" si="7"/>
        <v>6.5</v>
      </c>
      <c r="Y73">
        <f t="shared" si="7"/>
        <v>6.95</v>
      </c>
      <c r="AA73" t="s">
        <v>42</v>
      </c>
      <c r="AB73">
        <f t="shared" si="8"/>
        <v>6.3999999999999995</v>
      </c>
      <c r="AC73">
        <f t="shared" si="9"/>
        <v>6.9499999999999993</v>
      </c>
      <c r="AD73">
        <f t="shared" si="10"/>
        <v>6.6</v>
      </c>
      <c r="AE73">
        <f t="shared" si="11"/>
        <v>7.1499999999999995</v>
      </c>
      <c r="AF73">
        <f t="shared" si="12"/>
        <v>6.8</v>
      </c>
      <c r="AG73">
        <f t="shared" si="13"/>
        <v>7.35</v>
      </c>
      <c r="AH73">
        <v>7</v>
      </c>
      <c r="AI73">
        <v>7.55</v>
      </c>
      <c r="AK73" t="s">
        <v>42</v>
      </c>
      <c r="AL73">
        <v>6</v>
      </c>
      <c r="AM73">
        <v>6.3</v>
      </c>
      <c r="AN73">
        <v>6.65</v>
      </c>
      <c r="AO73">
        <v>7.05</v>
      </c>
      <c r="AP73">
        <v>6.65</v>
      </c>
      <c r="AQ73">
        <v>7</v>
      </c>
      <c r="AR73">
        <f t="shared" si="14"/>
        <v>6.75</v>
      </c>
      <c r="AS73">
        <f t="shared" si="15"/>
        <v>7.1</v>
      </c>
    </row>
    <row r="74" spans="7:45" hidden="1" x14ac:dyDescent="0.2">
      <c r="G74" t="s">
        <v>43</v>
      </c>
      <c r="H74">
        <v>5.4</v>
      </c>
      <c r="I74">
        <v>5.8</v>
      </c>
      <c r="J74">
        <v>5.6</v>
      </c>
      <c r="K74">
        <v>6.1</v>
      </c>
      <c r="L74">
        <f t="shared" si="3"/>
        <v>5.85</v>
      </c>
      <c r="M74">
        <f t="shared" si="4"/>
        <v>6.35</v>
      </c>
      <c r="N74">
        <f t="shared" si="5"/>
        <v>6.05</v>
      </c>
      <c r="O74">
        <f t="shared" si="6"/>
        <v>6.55</v>
      </c>
      <c r="Q74" t="s">
        <v>43</v>
      </c>
      <c r="R74">
        <v>5.4</v>
      </c>
      <c r="S74">
        <v>5.85</v>
      </c>
      <c r="T74">
        <v>5.85</v>
      </c>
      <c r="U74">
        <v>6.35</v>
      </c>
      <c r="V74">
        <v>6.1</v>
      </c>
      <c r="W74">
        <v>6.6</v>
      </c>
      <c r="X74">
        <f t="shared" si="7"/>
        <v>6.3</v>
      </c>
      <c r="Y74">
        <f t="shared" si="7"/>
        <v>6.8</v>
      </c>
      <c r="AA74" t="s">
        <v>43</v>
      </c>
      <c r="AB74">
        <f t="shared" si="8"/>
        <v>6.1499999999999995</v>
      </c>
      <c r="AC74">
        <f t="shared" si="9"/>
        <v>6.6999999999999993</v>
      </c>
      <c r="AD74">
        <f t="shared" si="10"/>
        <v>6.35</v>
      </c>
      <c r="AE74">
        <f t="shared" si="11"/>
        <v>6.8999999999999995</v>
      </c>
      <c r="AF74">
        <f t="shared" si="12"/>
        <v>6.55</v>
      </c>
      <c r="AG74">
        <f t="shared" si="13"/>
        <v>7.1</v>
      </c>
      <c r="AH74">
        <v>6.75</v>
      </c>
      <c r="AI74">
        <v>7.3</v>
      </c>
      <c r="AK74" t="s">
        <v>43</v>
      </c>
      <c r="AL74">
        <v>5.85</v>
      </c>
      <c r="AM74">
        <v>6.15</v>
      </c>
      <c r="AN74">
        <v>6.4</v>
      </c>
      <c r="AO74">
        <v>6.9</v>
      </c>
      <c r="AP74">
        <v>6.5</v>
      </c>
      <c r="AQ74">
        <v>6.85</v>
      </c>
      <c r="AR74">
        <f t="shared" si="14"/>
        <v>6.6</v>
      </c>
      <c r="AS74">
        <f t="shared" si="15"/>
        <v>6.9499999999999993</v>
      </c>
    </row>
    <row r="75" spans="7:45" hidden="1" x14ac:dyDescent="0.2">
      <c r="G75" t="s">
        <v>81</v>
      </c>
      <c r="H75">
        <v>5.25</v>
      </c>
      <c r="I75">
        <v>5.65</v>
      </c>
      <c r="J75">
        <v>5.45</v>
      </c>
      <c r="K75">
        <v>6.05</v>
      </c>
      <c r="L75">
        <f t="shared" si="3"/>
        <v>5.7</v>
      </c>
      <c r="M75">
        <f t="shared" si="4"/>
        <v>6.3</v>
      </c>
      <c r="N75">
        <f t="shared" si="5"/>
        <v>5.9</v>
      </c>
      <c r="O75">
        <f t="shared" si="6"/>
        <v>6.5</v>
      </c>
      <c r="Q75" t="s">
        <v>81</v>
      </c>
      <c r="R75">
        <v>5.25</v>
      </c>
      <c r="S75">
        <v>5.65</v>
      </c>
      <c r="T75">
        <v>5.7</v>
      </c>
      <c r="U75">
        <v>6.15</v>
      </c>
      <c r="V75">
        <v>5.9</v>
      </c>
      <c r="W75">
        <v>6.35</v>
      </c>
      <c r="X75">
        <f t="shared" si="7"/>
        <v>6.1000000000000005</v>
      </c>
      <c r="Y75">
        <f t="shared" si="7"/>
        <v>6.55</v>
      </c>
      <c r="AA75" t="s">
        <v>81</v>
      </c>
      <c r="AB75">
        <f t="shared" si="8"/>
        <v>5.9999999999999991</v>
      </c>
      <c r="AC75">
        <f t="shared" si="9"/>
        <v>6.55</v>
      </c>
      <c r="AD75">
        <f t="shared" si="10"/>
        <v>6.1999999999999993</v>
      </c>
      <c r="AE75">
        <f t="shared" si="11"/>
        <v>6.75</v>
      </c>
      <c r="AF75">
        <f t="shared" si="12"/>
        <v>6.3999999999999995</v>
      </c>
      <c r="AG75">
        <f t="shared" si="13"/>
        <v>6.95</v>
      </c>
      <c r="AH75">
        <v>6.6</v>
      </c>
      <c r="AI75">
        <v>7.15</v>
      </c>
      <c r="AK75" t="s">
        <v>81</v>
      </c>
      <c r="AL75">
        <v>5.7</v>
      </c>
      <c r="AM75">
        <v>6</v>
      </c>
      <c r="AN75">
        <v>6.2</v>
      </c>
      <c r="AO75">
        <v>6.7</v>
      </c>
      <c r="AP75">
        <v>6.35</v>
      </c>
      <c r="AQ75">
        <v>6.7</v>
      </c>
      <c r="AR75">
        <f t="shared" si="14"/>
        <v>6.4499999999999993</v>
      </c>
      <c r="AS75">
        <f t="shared" si="15"/>
        <v>6.8</v>
      </c>
    </row>
    <row r="76" spans="7:45" hidden="1" x14ac:dyDescent="0.2">
      <c r="G76" t="s">
        <v>44</v>
      </c>
      <c r="H76">
        <v>4.95</v>
      </c>
      <c r="I76">
        <v>5.35</v>
      </c>
      <c r="J76">
        <v>5.05</v>
      </c>
      <c r="K76">
        <v>5.65</v>
      </c>
      <c r="L76">
        <f t="shared" si="3"/>
        <v>5.3</v>
      </c>
      <c r="M76">
        <f t="shared" si="4"/>
        <v>5.9</v>
      </c>
      <c r="N76">
        <f t="shared" si="5"/>
        <v>5.5</v>
      </c>
      <c r="O76">
        <f t="shared" si="6"/>
        <v>6.1000000000000005</v>
      </c>
      <c r="Q76" t="s">
        <v>44</v>
      </c>
      <c r="R76">
        <v>4.95</v>
      </c>
      <c r="S76">
        <v>5.35</v>
      </c>
      <c r="T76">
        <v>5.35</v>
      </c>
      <c r="U76">
        <v>5.85</v>
      </c>
      <c r="V76">
        <v>5.55</v>
      </c>
      <c r="W76">
        <v>6.05</v>
      </c>
      <c r="X76">
        <f t="shared" si="7"/>
        <v>5.75</v>
      </c>
      <c r="Y76">
        <f t="shared" si="7"/>
        <v>6.25</v>
      </c>
      <c r="AA76" t="s">
        <v>44</v>
      </c>
      <c r="AB76">
        <f t="shared" si="8"/>
        <v>5.6499999999999995</v>
      </c>
      <c r="AC76">
        <f t="shared" si="9"/>
        <v>6.1499999999999995</v>
      </c>
      <c r="AD76">
        <f t="shared" si="10"/>
        <v>5.85</v>
      </c>
      <c r="AE76">
        <f t="shared" si="11"/>
        <v>6.35</v>
      </c>
      <c r="AF76">
        <f t="shared" si="12"/>
        <v>6.05</v>
      </c>
      <c r="AG76">
        <f t="shared" si="13"/>
        <v>6.55</v>
      </c>
      <c r="AH76">
        <v>6.25</v>
      </c>
      <c r="AI76">
        <v>6.75</v>
      </c>
      <c r="AK76" t="s">
        <v>44</v>
      </c>
      <c r="AL76">
        <v>5.5</v>
      </c>
      <c r="AM76">
        <v>5.8</v>
      </c>
      <c r="AN76">
        <v>6.1</v>
      </c>
      <c r="AO76">
        <v>6.45</v>
      </c>
      <c r="AP76">
        <v>6.15</v>
      </c>
      <c r="AQ76">
        <v>6.45</v>
      </c>
      <c r="AR76">
        <f t="shared" si="14"/>
        <v>6.25</v>
      </c>
      <c r="AS76">
        <f t="shared" si="15"/>
        <v>6.55</v>
      </c>
    </row>
    <row r="77" spans="7:45" hidden="1" x14ac:dyDescent="0.2">
      <c r="G77" t="s">
        <v>67</v>
      </c>
      <c r="H77">
        <v>4.7</v>
      </c>
      <c r="I77">
        <v>5.15</v>
      </c>
      <c r="J77">
        <v>4.9000000000000004</v>
      </c>
      <c r="K77">
        <v>5.45</v>
      </c>
      <c r="L77">
        <f t="shared" si="3"/>
        <v>5.15</v>
      </c>
      <c r="M77">
        <f t="shared" si="4"/>
        <v>5.7</v>
      </c>
      <c r="N77">
        <f t="shared" si="5"/>
        <v>5.3500000000000005</v>
      </c>
      <c r="O77">
        <f t="shared" si="6"/>
        <v>5.9</v>
      </c>
      <c r="Q77" t="s">
        <v>67</v>
      </c>
      <c r="R77">
        <v>4.7</v>
      </c>
      <c r="S77">
        <v>5.15</v>
      </c>
      <c r="T77">
        <v>5.0999999999999996</v>
      </c>
      <c r="U77">
        <v>5.6</v>
      </c>
      <c r="V77">
        <v>5.3</v>
      </c>
      <c r="W77">
        <v>5.8</v>
      </c>
      <c r="X77">
        <f t="shared" si="7"/>
        <v>5.5</v>
      </c>
      <c r="Y77">
        <f t="shared" si="7"/>
        <v>6</v>
      </c>
      <c r="AA77" t="s">
        <v>67</v>
      </c>
      <c r="AB77">
        <f t="shared" si="8"/>
        <v>5.3999999999999995</v>
      </c>
      <c r="AC77">
        <f t="shared" si="9"/>
        <v>5.9499999999999993</v>
      </c>
      <c r="AD77">
        <f t="shared" si="10"/>
        <v>5.6</v>
      </c>
      <c r="AE77">
        <f t="shared" si="11"/>
        <v>6.1499999999999995</v>
      </c>
      <c r="AF77">
        <f t="shared" si="12"/>
        <v>5.8</v>
      </c>
      <c r="AG77">
        <f t="shared" si="13"/>
        <v>6.35</v>
      </c>
      <c r="AH77">
        <v>6</v>
      </c>
      <c r="AI77">
        <v>6.55</v>
      </c>
      <c r="AK77" t="s">
        <v>67</v>
      </c>
      <c r="AL77">
        <v>5.3</v>
      </c>
      <c r="AM77">
        <v>5.6</v>
      </c>
      <c r="AN77">
        <v>5.8</v>
      </c>
      <c r="AO77">
        <v>6.2</v>
      </c>
      <c r="AP77">
        <v>5.9</v>
      </c>
      <c r="AQ77">
        <v>6.25</v>
      </c>
      <c r="AR77">
        <f t="shared" si="14"/>
        <v>6</v>
      </c>
      <c r="AS77">
        <f t="shared" si="15"/>
        <v>6.35</v>
      </c>
    </row>
    <row r="78" spans="7:45" hidden="1" x14ac:dyDescent="0.2">
      <c r="G78" t="s">
        <v>163</v>
      </c>
      <c r="H78">
        <v>5.85</v>
      </c>
      <c r="I78">
        <v>6.05</v>
      </c>
      <c r="J78">
        <v>6.05</v>
      </c>
      <c r="K78">
        <v>6.3</v>
      </c>
      <c r="L78">
        <f t="shared" si="3"/>
        <v>6.3</v>
      </c>
      <c r="M78">
        <f t="shared" si="4"/>
        <v>6.55</v>
      </c>
      <c r="N78">
        <f t="shared" si="5"/>
        <v>6.5</v>
      </c>
      <c r="O78">
        <f t="shared" si="6"/>
        <v>6.75</v>
      </c>
      <c r="Q78" t="s">
        <v>163</v>
      </c>
      <c r="R78">
        <v>5.85</v>
      </c>
      <c r="S78">
        <v>6.05</v>
      </c>
      <c r="T78">
        <v>6.35</v>
      </c>
      <c r="U78">
        <v>6.6</v>
      </c>
      <c r="V78">
        <v>6.5</v>
      </c>
      <c r="W78">
        <v>6.8</v>
      </c>
      <c r="X78">
        <v>6.6</v>
      </c>
      <c r="Y78">
        <v>6.95</v>
      </c>
      <c r="AA78" t="s">
        <v>163</v>
      </c>
      <c r="AB78">
        <v>6.65</v>
      </c>
      <c r="AC78">
        <v>6.95</v>
      </c>
      <c r="AD78">
        <v>7.1</v>
      </c>
      <c r="AE78">
        <v>7.4</v>
      </c>
      <c r="AF78">
        <v>7.25</v>
      </c>
      <c r="AG78">
        <v>7.6</v>
      </c>
      <c r="AH78">
        <v>7.4</v>
      </c>
      <c r="AI78">
        <v>7.8</v>
      </c>
      <c r="AK78" t="s">
        <v>163</v>
      </c>
      <c r="AL78">
        <v>5.95</v>
      </c>
      <c r="AM78">
        <v>6.3</v>
      </c>
      <c r="AN78">
        <v>6.65</v>
      </c>
      <c r="AO78">
        <v>7</v>
      </c>
      <c r="AP78">
        <v>6.75</v>
      </c>
      <c r="AQ78">
        <v>7.15</v>
      </c>
      <c r="AR78">
        <v>6.75</v>
      </c>
      <c r="AS78">
        <v>7.1</v>
      </c>
    </row>
    <row r="79" spans="7:45" hidden="1" x14ac:dyDescent="0.2">
      <c r="G79" t="s">
        <v>50</v>
      </c>
      <c r="H79">
        <v>5.6</v>
      </c>
      <c r="I79">
        <v>5.85</v>
      </c>
      <c r="J79">
        <v>5.8</v>
      </c>
      <c r="K79">
        <v>6.05</v>
      </c>
      <c r="L79">
        <f t="shared" si="3"/>
        <v>6.05</v>
      </c>
      <c r="M79">
        <f t="shared" si="4"/>
        <v>6.3</v>
      </c>
      <c r="N79">
        <f t="shared" si="5"/>
        <v>6.25</v>
      </c>
      <c r="O79">
        <f t="shared" si="6"/>
        <v>6.5</v>
      </c>
      <c r="Q79" t="s">
        <v>50</v>
      </c>
      <c r="R79">
        <v>5.65</v>
      </c>
      <c r="S79">
        <v>5.85</v>
      </c>
      <c r="T79">
        <v>6.1</v>
      </c>
      <c r="U79">
        <v>6.35</v>
      </c>
      <c r="V79">
        <v>6.3</v>
      </c>
      <c r="W79">
        <v>6.55</v>
      </c>
      <c r="X79">
        <f t="shared" si="7"/>
        <v>6.5</v>
      </c>
      <c r="Y79">
        <f t="shared" si="7"/>
        <v>6.75</v>
      </c>
      <c r="AA79" t="s">
        <v>50</v>
      </c>
      <c r="AB79">
        <f t="shared" si="8"/>
        <v>6.3999999999999995</v>
      </c>
      <c r="AC79">
        <f t="shared" si="9"/>
        <v>6.7499999999999991</v>
      </c>
      <c r="AD79">
        <f t="shared" si="10"/>
        <v>6.6</v>
      </c>
      <c r="AE79">
        <f t="shared" si="11"/>
        <v>6.9499999999999993</v>
      </c>
      <c r="AF79">
        <f t="shared" si="12"/>
        <v>6.8</v>
      </c>
      <c r="AG79">
        <f t="shared" si="13"/>
        <v>7.1499999999999995</v>
      </c>
      <c r="AH79">
        <v>7</v>
      </c>
      <c r="AI79">
        <v>7.35</v>
      </c>
      <c r="AK79" t="s">
        <v>50</v>
      </c>
      <c r="AL79">
        <v>5.85</v>
      </c>
      <c r="AM79">
        <v>6.15</v>
      </c>
      <c r="AN79">
        <v>6.5</v>
      </c>
      <c r="AO79">
        <v>6.85</v>
      </c>
      <c r="AP79">
        <v>6.5</v>
      </c>
      <c r="AQ79">
        <v>6.85</v>
      </c>
      <c r="AR79">
        <f t="shared" si="14"/>
        <v>6.6</v>
      </c>
      <c r="AS79">
        <f t="shared" si="15"/>
        <v>6.9499999999999993</v>
      </c>
    </row>
    <row r="80" spans="7:45" hidden="1" x14ac:dyDescent="0.2">
      <c r="G80" t="s">
        <v>76</v>
      </c>
      <c r="H80">
        <v>5.4</v>
      </c>
      <c r="I80">
        <v>5.65</v>
      </c>
      <c r="J80">
        <v>5.6</v>
      </c>
      <c r="K80">
        <v>5.95</v>
      </c>
      <c r="L80">
        <f t="shared" si="3"/>
        <v>5.85</v>
      </c>
      <c r="M80">
        <f t="shared" si="4"/>
        <v>6.2</v>
      </c>
      <c r="N80">
        <f t="shared" si="5"/>
        <v>6.05</v>
      </c>
      <c r="O80">
        <f t="shared" si="6"/>
        <v>6.4</v>
      </c>
      <c r="Q80" t="s">
        <v>76</v>
      </c>
      <c r="R80">
        <v>5.45</v>
      </c>
      <c r="S80">
        <v>5.7</v>
      </c>
      <c r="T80">
        <v>5.9</v>
      </c>
      <c r="U80">
        <v>6.2</v>
      </c>
      <c r="V80">
        <v>6.1</v>
      </c>
      <c r="W80">
        <v>6.4</v>
      </c>
      <c r="X80">
        <f t="shared" si="7"/>
        <v>6.3</v>
      </c>
      <c r="Y80">
        <f t="shared" si="7"/>
        <v>6.6000000000000005</v>
      </c>
      <c r="AA80" t="s">
        <v>76</v>
      </c>
      <c r="AB80">
        <f t="shared" si="8"/>
        <v>6.1999999999999993</v>
      </c>
      <c r="AC80">
        <f t="shared" si="9"/>
        <v>6.55</v>
      </c>
      <c r="AD80">
        <f t="shared" si="10"/>
        <v>6.3999999999999995</v>
      </c>
      <c r="AE80">
        <f t="shared" si="11"/>
        <v>6.75</v>
      </c>
      <c r="AF80">
        <f t="shared" si="12"/>
        <v>6.6</v>
      </c>
      <c r="AG80">
        <f t="shared" si="13"/>
        <v>6.95</v>
      </c>
      <c r="AH80">
        <v>6.8</v>
      </c>
      <c r="AI80">
        <v>7.15</v>
      </c>
      <c r="AK80" t="s">
        <v>76</v>
      </c>
      <c r="AL80">
        <v>5.7</v>
      </c>
      <c r="AM80">
        <v>6</v>
      </c>
      <c r="AN80">
        <v>6.35</v>
      </c>
      <c r="AO80">
        <v>6.7</v>
      </c>
      <c r="AP80">
        <v>6.35</v>
      </c>
      <c r="AQ80">
        <v>6.7</v>
      </c>
      <c r="AR80">
        <f t="shared" si="14"/>
        <v>6.4499999999999993</v>
      </c>
      <c r="AS80">
        <f t="shared" si="15"/>
        <v>6.8</v>
      </c>
    </row>
    <row r="81" spans="5:45" hidden="1" x14ac:dyDescent="0.2">
      <c r="G81" t="s">
        <v>77</v>
      </c>
      <c r="H81">
        <v>5.25</v>
      </c>
      <c r="I81">
        <v>5.5</v>
      </c>
      <c r="J81">
        <v>5.45</v>
      </c>
      <c r="K81">
        <v>5.8</v>
      </c>
      <c r="L81">
        <f t="shared" si="3"/>
        <v>5.7</v>
      </c>
      <c r="M81">
        <f t="shared" si="4"/>
        <v>6.05</v>
      </c>
      <c r="N81">
        <f t="shared" si="5"/>
        <v>5.9</v>
      </c>
      <c r="O81">
        <f t="shared" si="6"/>
        <v>6.25</v>
      </c>
      <c r="Q81" t="s">
        <v>77</v>
      </c>
      <c r="R81">
        <v>5.25</v>
      </c>
      <c r="S81">
        <v>5.5</v>
      </c>
      <c r="T81">
        <v>5.7</v>
      </c>
      <c r="U81">
        <v>6</v>
      </c>
      <c r="V81">
        <v>5.9</v>
      </c>
      <c r="W81">
        <v>6.2</v>
      </c>
      <c r="X81">
        <f t="shared" si="7"/>
        <v>6.1000000000000005</v>
      </c>
      <c r="Y81">
        <f t="shared" si="7"/>
        <v>6.4</v>
      </c>
      <c r="AA81" t="s">
        <v>77</v>
      </c>
      <c r="AB81">
        <f t="shared" si="8"/>
        <v>5.9999999999999991</v>
      </c>
      <c r="AC81">
        <f t="shared" si="9"/>
        <v>6.3999999999999995</v>
      </c>
      <c r="AD81">
        <f t="shared" si="10"/>
        <v>6.1999999999999993</v>
      </c>
      <c r="AE81">
        <f t="shared" si="11"/>
        <v>6.6</v>
      </c>
      <c r="AF81">
        <f t="shared" si="12"/>
        <v>6.3999999999999995</v>
      </c>
      <c r="AG81">
        <f t="shared" si="13"/>
        <v>6.8</v>
      </c>
      <c r="AH81">
        <v>6.6</v>
      </c>
      <c r="AI81">
        <v>7</v>
      </c>
      <c r="AK81" t="s">
        <v>77</v>
      </c>
      <c r="AL81">
        <v>5.6</v>
      </c>
      <c r="AM81">
        <v>5.9</v>
      </c>
      <c r="AN81">
        <v>6.25</v>
      </c>
      <c r="AO81">
        <v>6.55</v>
      </c>
      <c r="AP81">
        <v>6.25</v>
      </c>
      <c r="AQ81">
        <v>6.6</v>
      </c>
      <c r="AR81">
        <f t="shared" si="14"/>
        <v>6.35</v>
      </c>
      <c r="AS81">
        <f t="shared" si="15"/>
        <v>6.6999999999999993</v>
      </c>
    </row>
    <row r="82" spans="5:45" hidden="1" x14ac:dyDescent="0.2">
      <c r="G82" t="s">
        <v>46</v>
      </c>
      <c r="H82">
        <v>5.0999999999999996</v>
      </c>
      <c r="I82">
        <v>5.4</v>
      </c>
      <c r="J82">
        <v>5.3</v>
      </c>
      <c r="K82">
        <v>5.7</v>
      </c>
      <c r="L82">
        <f t="shared" si="3"/>
        <v>5.55</v>
      </c>
      <c r="M82">
        <f t="shared" si="4"/>
        <v>5.95</v>
      </c>
      <c r="N82">
        <f t="shared" si="5"/>
        <v>5.75</v>
      </c>
      <c r="O82">
        <f t="shared" si="6"/>
        <v>6.15</v>
      </c>
      <c r="Q82" t="s">
        <v>46</v>
      </c>
      <c r="R82">
        <v>5.0999999999999996</v>
      </c>
      <c r="S82">
        <v>5.4</v>
      </c>
      <c r="T82">
        <v>5.55</v>
      </c>
      <c r="U82">
        <v>5.85</v>
      </c>
      <c r="V82">
        <v>5.75</v>
      </c>
      <c r="W82">
        <v>5.95</v>
      </c>
      <c r="X82">
        <f t="shared" si="7"/>
        <v>5.95</v>
      </c>
      <c r="Y82">
        <f t="shared" si="7"/>
        <v>6.15</v>
      </c>
      <c r="AA82" t="s">
        <v>46</v>
      </c>
      <c r="AB82">
        <f t="shared" si="8"/>
        <v>5.8</v>
      </c>
      <c r="AC82">
        <f t="shared" si="9"/>
        <v>6.2499999999999991</v>
      </c>
      <c r="AD82">
        <f t="shared" si="10"/>
        <v>6</v>
      </c>
      <c r="AE82">
        <f t="shared" si="11"/>
        <v>6.4499999999999993</v>
      </c>
      <c r="AF82">
        <f t="shared" si="12"/>
        <v>6.2</v>
      </c>
      <c r="AG82">
        <f t="shared" si="13"/>
        <v>6.6499999999999995</v>
      </c>
      <c r="AH82">
        <v>6.4</v>
      </c>
      <c r="AI82">
        <v>6.85</v>
      </c>
      <c r="AK82" t="s">
        <v>46</v>
      </c>
      <c r="AL82">
        <v>5.5</v>
      </c>
      <c r="AM82">
        <v>5.8</v>
      </c>
      <c r="AN82">
        <v>6.1</v>
      </c>
      <c r="AO82">
        <v>6.45</v>
      </c>
      <c r="AP82">
        <v>6.15</v>
      </c>
      <c r="AQ82">
        <v>6.45</v>
      </c>
      <c r="AR82">
        <f t="shared" si="14"/>
        <v>6.25</v>
      </c>
      <c r="AS82">
        <f t="shared" si="15"/>
        <v>6.55</v>
      </c>
    </row>
    <row r="83" spans="5:45" hidden="1" x14ac:dyDescent="0.2">
      <c r="G83" t="s">
        <v>82</v>
      </c>
      <c r="H83">
        <v>4.95</v>
      </c>
      <c r="I83">
        <v>5.25</v>
      </c>
      <c r="J83">
        <v>5.05</v>
      </c>
      <c r="K83">
        <v>5.55</v>
      </c>
      <c r="L83">
        <f t="shared" si="3"/>
        <v>5.3</v>
      </c>
      <c r="M83">
        <f t="shared" si="4"/>
        <v>5.8</v>
      </c>
      <c r="N83">
        <f t="shared" si="5"/>
        <v>5.5</v>
      </c>
      <c r="O83">
        <f t="shared" si="6"/>
        <v>6</v>
      </c>
      <c r="Q83" t="s">
        <v>82</v>
      </c>
      <c r="R83">
        <v>4.95</v>
      </c>
      <c r="S83">
        <v>5.25</v>
      </c>
      <c r="T83">
        <v>5.4</v>
      </c>
      <c r="U83">
        <v>5.7</v>
      </c>
      <c r="V83">
        <v>5.6</v>
      </c>
      <c r="W83">
        <v>5.9</v>
      </c>
      <c r="X83">
        <f t="shared" si="7"/>
        <v>5.8</v>
      </c>
      <c r="Y83">
        <f t="shared" si="7"/>
        <v>6.1000000000000005</v>
      </c>
      <c r="AA83" t="s">
        <v>82</v>
      </c>
      <c r="AB83">
        <f t="shared" si="8"/>
        <v>5.6499999999999995</v>
      </c>
      <c r="AC83">
        <f t="shared" si="9"/>
        <v>6.1</v>
      </c>
      <c r="AD83">
        <f t="shared" si="10"/>
        <v>5.85</v>
      </c>
      <c r="AE83">
        <f t="shared" si="11"/>
        <v>6.3</v>
      </c>
      <c r="AF83">
        <f t="shared" si="12"/>
        <v>6.05</v>
      </c>
      <c r="AG83">
        <f t="shared" si="13"/>
        <v>6.5</v>
      </c>
      <c r="AH83">
        <v>6.25</v>
      </c>
      <c r="AI83">
        <v>6.7</v>
      </c>
      <c r="AK83" t="s">
        <v>82</v>
      </c>
      <c r="AL83">
        <v>5.4</v>
      </c>
      <c r="AM83">
        <v>5.7</v>
      </c>
      <c r="AN83">
        <v>6</v>
      </c>
      <c r="AO83">
        <v>6.3</v>
      </c>
      <c r="AP83">
        <v>6</v>
      </c>
      <c r="AQ83">
        <v>6.35</v>
      </c>
      <c r="AR83">
        <f t="shared" si="14"/>
        <v>6.1</v>
      </c>
      <c r="AS83">
        <f t="shared" si="15"/>
        <v>6.4499999999999993</v>
      </c>
    </row>
    <row r="84" spans="5:45" hidden="1" x14ac:dyDescent="0.2">
      <c r="G84" t="s">
        <v>45</v>
      </c>
      <c r="H84">
        <v>4.7</v>
      </c>
      <c r="I84">
        <v>5.05</v>
      </c>
      <c r="J84">
        <v>4.9000000000000004</v>
      </c>
      <c r="K84">
        <v>5.35</v>
      </c>
      <c r="L84">
        <f t="shared" si="3"/>
        <v>5.15</v>
      </c>
      <c r="M84">
        <f t="shared" si="4"/>
        <v>5.6</v>
      </c>
      <c r="N84">
        <f t="shared" si="5"/>
        <v>5.3500000000000005</v>
      </c>
      <c r="O84">
        <f t="shared" si="6"/>
        <v>5.8</v>
      </c>
      <c r="Q84" t="s">
        <v>45</v>
      </c>
      <c r="R84">
        <v>4.7</v>
      </c>
      <c r="S84">
        <v>5</v>
      </c>
      <c r="T84">
        <v>5.0999999999999996</v>
      </c>
      <c r="U84">
        <v>5.45</v>
      </c>
      <c r="V84">
        <v>5.3</v>
      </c>
      <c r="W84">
        <v>5.65</v>
      </c>
      <c r="X84">
        <f t="shared" si="7"/>
        <v>5.5</v>
      </c>
      <c r="Y84">
        <f t="shared" si="7"/>
        <v>5.8500000000000005</v>
      </c>
      <c r="AA84" t="s">
        <v>45</v>
      </c>
      <c r="AB84">
        <f t="shared" si="8"/>
        <v>5.3999999999999995</v>
      </c>
      <c r="AC84">
        <f t="shared" si="9"/>
        <v>5.85</v>
      </c>
      <c r="AD84">
        <f t="shared" si="10"/>
        <v>5.6</v>
      </c>
      <c r="AE84">
        <f t="shared" si="11"/>
        <v>6.05</v>
      </c>
      <c r="AF84">
        <f t="shared" si="12"/>
        <v>5.8</v>
      </c>
      <c r="AG84">
        <f t="shared" si="13"/>
        <v>6.25</v>
      </c>
      <c r="AH84">
        <v>6</v>
      </c>
      <c r="AI84">
        <v>6.45</v>
      </c>
      <c r="AK84" t="s">
        <v>45</v>
      </c>
      <c r="AL84">
        <v>5.2</v>
      </c>
      <c r="AM84">
        <v>5.5</v>
      </c>
      <c r="AN84">
        <v>5.75</v>
      </c>
      <c r="AO84">
        <v>6.1</v>
      </c>
      <c r="AP84">
        <v>5.8</v>
      </c>
      <c r="AQ84">
        <v>6.1</v>
      </c>
      <c r="AR84">
        <f t="shared" si="14"/>
        <v>5.8999999999999995</v>
      </c>
      <c r="AS84">
        <f t="shared" si="15"/>
        <v>6.1999999999999993</v>
      </c>
    </row>
    <row r="85" spans="5:45" hidden="1" x14ac:dyDescent="0.2">
      <c r="G85" t="s">
        <v>68</v>
      </c>
      <c r="H85">
        <v>4.5</v>
      </c>
      <c r="I85">
        <v>4.8499999999999996</v>
      </c>
      <c r="J85">
        <v>4.8</v>
      </c>
      <c r="K85">
        <v>5.15</v>
      </c>
      <c r="L85">
        <f t="shared" si="3"/>
        <v>5.05</v>
      </c>
      <c r="M85">
        <f t="shared" si="4"/>
        <v>5.4</v>
      </c>
      <c r="N85">
        <f t="shared" si="5"/>
        <v>5.25</v>
      </c>
      <c r="O85">
        <f t="shared" si="6"/>
        <v>5.6000000000000005</v>
      </c>
      <c r="Q85" t="s">
        <v>68</v>
      </c>
      <c r="R85">
        <v>4.5</v>
      </c>
      <c r="S85">
        <v>4.8</v>
      </c>
      <c r="T85">
        <v>4.9000000000000004</v>
      </c>
      <c r="U85">
        <v>5.25</v>
      </c>
      <c r="V85">
        <v>5.0999999999999996</v>
      </c>
      <c r="W85">
        <v>5.45</v>
      </c>
      <c r="X85">
        <f t="shared" si="7"/>
        <v>5.3</v>
      </c>
      <c r="Y85">
        <f t="shared" si="7"/>
        <v>5.65</v>
      </c>
      <c r="AA85" t="s">
        <v>68</v>
      </c>
      <c r="AB85">
        <f t="shared" si="8"/>
        <v>5.1499999999999995</v>
      </c>
      <c r="AC85">
        <f t="shared" si="9"/>
        <v>5.6</v>
      </c>
      <c r="AD85">
        <f t="shared" si="10"/>
        <v>5.35</v>
      </c>
      <c r="AE85">
        <f t="shared" si="11"/>
        <v>5.8</v>
      </c>
      <c r="AF85">
        <f t="shared" si="12"/>
        <v>5.55</v>
      </c>
      <c r="AG85">
        <f t="shared" si="13"/>
        <v>6</v>
      </c>
      <c r="AH85">
        <v>5.75</v>
      </c>
      <c r="AI85">
        <v>6.2</v>
      </c>
      <c r="AK85" t="s">
        <v>68</v>
      </c>
      <c r="AL85">
        <v>5.05</v>
      </c>
      <c r="AM85">
        <v>5.35</v>
      </c>
      <c r="AN85">
        <v>5.55</v>
      </c>
      <c r="AO85">
        <v>5.85</v>
      </c>
      <c r="AP85">
        <v>5.6</v>
      </c>
      <c r="AQ85">
        <v>5.9</v>
      </c>
      <c r="AR85">
        <f t="shared" si="14"/>
        <v>5.6999999999999993</v>
      </c>
      <c r="AS85">
        <f t="shared" si="15"/>
        <v>6</v>
      </c>
    </row>
    <row r="86" spans="5:45" hidden="1" x14ac:dyDescent="0.2">
      <c r="G86" t="s">
        <v>71</v>
      </c>
      <c r="H86" s="236">
        <v>236</v>
      </c>
      <c r="I86" s="236"/>
      <c r="J86" s="236">
        <v>229</v>
      </c>
      <c r="K86" s="236"/>
      <c r="L86" s="236">
        <v>251</v>
      </c>
      <c r="M86" s="236"/>
      <c r="N86" s="236">
        <v>274</v>
      </c>
      <c r="O86" s="236"/>
      <c r="R86" s="236">
        <v>194</v>
      </c>
      <c r="S86" s="236"/>
      <c r="T86" s="236">
        <v>257</v>
      </c>
      <c r="U86" s="236"/>
      <c r="V86" s="236">
        <v>280</v>
      </c>
      <c r="W86" s="236"/>
      <c r="X86" s="236">
        <v>263</v>
      </c>
      <c r="Y86" s="236"/>
      <c r="AB86" s="236">
        <v>255</v>
      </c>
      <c r="AC86" s="236"/>
      <c r="AD86" s="236">
        <v>295</v>
      </c>
      <c r="AE86" s="236"/>
      <c r="AF86" s="236">
        <v>318</v>
      </c>
      <c r="AG86" s="236"/>
      <c r="AH86" s="236">
        <v>341</v>
      </c>
      <c r="AI86" s="236"/>
      <c r="AL86" s="236">
        <v>255</v>
      </c>
      <c r="AM86" s="236"/>
      <c r="AN86" s="236">
        <v>295</v>
      </c>
      <c r="AO86" s="236"/>
      <c r="AP86" s="236">
        <v>318</v>
      </c>
      <c r="AQ86" s="236"/>
      <c r="AR86" s="236">
        <v>341</v>
      </c>
      <c r="AS86" s="236"/>
    </row>
    <row r="87" spans="5:45" hidden="1" x14ac:dyDescent="0.2">
      <c r="G87" t="s">
        <v>72</v>
      </c>
      <c r="H87" s="236">
        <v>74</v>
      </c>
      <c r="I87" s="236"/>
      <c r="J87" s="236">
        <v>81.5</v>
      </c>
      <c r="K87" s="236"/>
      <c r="L87" s="236">
        <v>91.5</v>
      </c>
      <c r="M87" s="236"/>
      <c r="N87" s="236">
        <v>101.5</v>
      </c>
      <c r="O87" s="236"/>
      <c r="R87" s="236">
        <v>68.5</v>
      </c>
      <c r="S87" s="236"/>
      <c r="T87" s="236">
        <v>72</v>
      </c>
      <c r="U87" s="236"/>
      <c r="V87" s="236">
        <v>82</v>
      </c>
      <c r="W87" s="236"/>
      <c r="X87" s="236">
        <v>98.5</v>
      </c>
      <c r="Y87" s="236"/>
      <c r="AB87" s="236">
        <v>84.5</v>
      </c>
      <c r="AC87" s="236"/>
      <c r="AD87" s="236">
        <v>88.5</v>
      </c>
      <c r="AE87" s="236"/>
      <c r="AF87" s="236">
        <v>96.5</v>
      </c>
      <c r="AG87" s="236"/>
      <c r="AH87" s="236">
        <v>106.5</v>
      </c>
      <c r="AI87" s="236"/>
      <c r="AL87" s="236">
        <v>84.5</v>
      </c>
      <c r="AM87" s="236"/>
      <c r="AN87" s="236">
        <v>88.5</v>
      </c>
      <c r="AO87" s="236"/>
      <c r="AP87" s="236">
        <v>96.5</v>
      </c>
      <c r="AQ87" s="236"/>
      <c r="AR87" s="236">
        <v>106.5</v>
      </c>
      <c r="AS87" s="236"/>
    </row>
    <row r="88" spans="5:45" hidden="1" x14ac:dyDescent="0.2">
      <c r="E88" t="s">
        <v>49</v>
      </c>
      <c r="G88" t="str">
        <f>+DIM!$AK$20&amp;"+"&amp;DIM!$S$14</f>
        <v>251+250</v>
      </c>
      <c r="H88" s="100">
        <f>+VLOOKUP($G$88,$G$62:$O$85,2,FALSE)</f>
        <v>5.4</v>
      </c>
      <c r="I88" s="100">
        <f>+VLOOKUP($G$88,$G$62:$O$85,3,FALSE)</f>
        <v>5.8</v>
      </c>
      <c r="J88" s="100">
        <f>+VLOOKUP($G$88,$G$62:$O$85,4,FALSE)</f>
        <v>5.6</v>
      </c>
      <c r="K88" s="100">
        <f>+VLOOKUP($G$88,$G$62:$O$85,5,FALSE)</f>
        <v>6.1</v>
      </c>
      <c r="L88" s="100">
        <f>+VLOOKUP($G$88,$G$62:$O$85,6,FALSE)</f>
        <v>5.85</v>
      </c>
      <c r="M88" s="100">
        <f>+VLOOKUP($G$88,$G$62:$O$85,7,FALSE)</f>
        <v>6.35</v>
      </c>
      <c r="N88" s="100">
        <f>+VLOOKUP($G$88,$G$62:$O$85,8,FALSE)</f>
        <v>6.05</v>
      </c>
      <c r="O88" s="100">
        <f>+VLOOKUP($G$88,$G$62:$O$85,9,FALSE)</f>
        <v>6.55</v>
      </c>
      <c r="Q88" t="str">
        <f>+DIM!$AK$20&amp;"+"&amp;DIM!$S$14</f>
        <v>251+250</v>
      </c>
      <c r="R88" s="100">
        <f>+VLOOKUP($Q$88,$Q$62:$Y$87,2,FALSE)</f>
        <v>5.4</v>
      </c>
      <c r="S88" s="100">
        <f>+VLOOKUP($Q$88,$Q$62:$Y$87,3,FALSE)</f>
        <v>5.85</v>
      </c>
      <c r="T88" s="100">
        <f>+VLOOKUP($Q$88,$Q$62:$Y$87,4,FALSE)</f>
        <v>5.85</v>
      </c>
      <c r="U88" s="100">
        <f>+VLOOKUP($Q$88,$Q$62:$Y$87,5,FALSE)</f>
        <v>6.35</v>
      </c>
      <c r="V88" s="100">
        <f>+VLOOKUP($Q$88,$Q$62:$Y$87,6,FALSE)</f>
        <v>6.1</v>
      </c>
      <c r="W88" s="100">
        <f>+VLOOKUP($Q$88,$Q$62:$Y$87,7,FALSE)</f>
        <v>6.6</v>
      </c>
      <c r="X88" s="100">
        <f>+VLOOKUP($Q$88,$Q$62:$Y$87,8,FALSE)</f>
        <v>6.3</v>
      </c>
      <c r="Y88" s="100">
        <f>+VLOOKUP($Q$88,$Q$62:$Y$87,9,FALSE)</f>
        <v>6.8</v>
      </c>
      <c r="AA88" t="str">
        <f>+DIM!$AK$20&amp;"+"&amp;DIM!$S$14</f>
        <v>251+250</v>
      </c>
      <c r="AB88" s="100">
        <f>+VLOOKUP($AA$88,$AA$62:$AI$85,2,FALSE)</f>
        <v>6.1499999999999995</v>
      </c>
      <c r="AC88" s="100">
        <f>+VLOOKUP($AA$88,$AA$62:$AI$85,3,FALSE)</f>
        <v>6.6999999999999993</v>
      </c>
      <c r="AD88" s="100">
        <f>+VLOOKUP($AA$88,$AA$62:$AI$85,4,FALSE)</f>
        <v>6.35</v>
      </c>
      <c r="AE88" s="100">
        <f>+VLOOKUP($AA$88,$AA$62:$AI$85,5,FALSE)</f>
        <v>6.8999999999999995</v>
      </c>
      <c r="AF88" s="100">
        <f>+VLOOKUP($AA$88,$AA$62:$AI$85,6,FALSE)</f>
        <v>6.55</v>
      </c>
      <c r="AG88" s="100">
        <f>+VLOOKUP($AA$88,$AA$62:$AI$85,7,FALSE)</f>
        <v>7.1</v>
      </c>
      <c r="AH88" s="100">
        <f>+VLOOKUP($AA$88,$AA$62:$AI$85,8,FALSE)</f>
        <v>6.75</v>
      </c>
      <c r="AI88" s="100">
        <f>+VLOOKUP($AA$88,$AA$62:$AI$85,9,FALSE)</f>
        <v>7.3</v>
      </c>
      <c r="AK88" t="str">
        <f>+DIM!$AK$20&amp;"+"&amp;DIM!$S$14</f>
        <v>251+250</v>
      </c>
      <c r="AL88" s="100">
        <f>+VLOOKUP($AK$88,$AK$62:$AS$85,2,FALSE)</f>
        <v>5.85</v>
      </c>
      <c r="AM88" s="100">
        <f>+VLOOKUP($AK$88,$AK$62:$AS$85,3,FALSE)</f>
        <v>6.15</v>
      </c>
      <c r="AN88" s="100">
        <f>+VLOOKUP($AK$88,$AK$62:$AS$85,4,FALSE)</f>
        <v>6.4</v>
      </c>
      <c r="AO88" s="100">
        <f>+VLOOKUP($AK$88,$AK$62:$AS$85,5,FALSE)</f>
        <v>6.9</v>
      </c>
      <c r="AP88" s="100">
        <f>+VLOOKUP($AK$88,$AK$62:$AS$85,6,FALSE)</f>
        <v>6.5</v>
      </c>
      <c r="AQ88" s="100">
        <f>+VLOOKUP($AK$88,$AK$62:$AS$85,7,FALSE)</f>
        <v>6.85</v>
      </c>
      <c r="AR88" s="100">
        <f>+VLOOKUP($AK$88,$AK$62:$AS$85,8,FALSE)</f>
        <v>6.6</v>
      </c>
      <c r="AS88" s="100">
        <f>+VLOOKUP($AK$88,$AK$62:$AS$85,9,FALSE)</f>
        <v>6.9499999999999993</v>
      </c>
    </row>
    <row r="89" spans="5:45" hidden="1" x14ac:dyDescent="0.2">
      <c r="F89" t="s">
        <v>47</v>
      </c>
      <c r="G89" t="str">
        <f>+DIM!AD15</f>
        <v>1C</v>
      </c>
      <c r="H89" s="235">
        <f>+IF(DIM!$AD$15=H61,H88,I88)</f>
        <v>5.8</v>
      </c>
      <c r="I89" s="235"/>
      <c r="J89" s="235">
        <f>+IF(DIM!$AD$15=J61,J88,K88)</f>
        <v>6.1</v>
      </c>
      <c r="K89" s="235"/>
      <c r="L89" s="235">
        <f>+IF(DIM!$AD$15=L61,L88,M88)</f>
        <v>6.35</v>
      </c>
      <c r="M89" s="235"/>
      <c r="N89" s="235">
        <f>+IF(DIM!$AD$15=N61,N88,O88)</f>
        <v>6.55</v>
      </c>
      <c r="O89" s="235"/>
      <c r="Q89" t="str">
        <f>+DIM!AD15</f>
        <v>1C</v>
      </c>
      <c r="R89" s="233">
        <f>+IF(DIM!$AD$15=plastivs!$H$15,plastivs!R88,plastivs!S88)</f>
        <v>5.85</v>
      </c>
      <c r="S89" s="234"/>
      <c r="T89" s="233">
        <f>+IF(DIM!$AD$15=plastivs!$H$15,plastivs!T88,plastivs!U88)</f>
        <v>6.35</v>
      </c>
      <c r="U89" s="234"/>
      <c r="V89" s="233">
        <f>+IF(DIM!$AD$15=plastivs!$H$15,plastivs!V88,plastivs!W88)</f>
        <v>6.6</v>
      </c>
      <c r="W89" s="234"/>
      <c r="X89" s="233">
        <f>+IF(DIM!$AD$15=plastivs!$H$15,plastivs!X88,plastivs!Y88)</f>
        <v>6.8</v>
      </c>
      <c r="Y89" s="234"/>
      <c r="AA89" t="str">
        <f>+DIM!AD15</f>
        <v>1C</v>
      </c>
      <c r="AB89" s="233">
        <f>+IF(DIM!$AD$15=plastivs!$H$15,plastivs!AB88,plastivs!AC88)</f>
        <v>6.6999999999999993</v>
      </c>
      <c r="AC89" s="234"/>
      <c r="AD89" s="233">
        <f>+IF(DIM!$AD$15=plastivs!$H$15,plastivs!AD88,plastivs!AE88)</f>
        <v>6.8999999999999995</v>
      </c>
      <c r="AE89" s="234"/>
      <c r="AF89" s="233">
        <f>+IF(DIM!$AD$15=plastivs!$H$15,plastivs!AF88,plastivs!AG88)</f>
        <v>7.1</v>
      </c>
      <c r="AG89" s="234"/>
      <c r="AH89" s="233">
        <f>+IF(DIM!$AD$15=plastivs!$H$15,plastivs!AH88,plastivs!AI88)</f>
        <v>7.3</v>
      </c>
      <c r="AI89" s="234"/>
      <c r="AK89" t="str">
        <f>+DIM!AD15</f>
        <v>1C</v>
      </c>
      <c r="AL89" s="233">
        <f>+IF(DIM!$AD$15=plastivs!$H$15,plastivs!AL88,plastivs!AM88)</f>
        <v>6.15</v>
      </c>
      <c r="AM89" s="234"/>
      <c r="AN89" s="233">
        <f>+IF(DIM!$AD$15=plastivs!$H$15,plastivs!AN88,plastivs!AO88)</f>
        <v>6.9</v>
      </c>
      <c r="AO89" s="234"/>
      <c r="AP89" s="233">
        <f>+IF(DIM!$AD$15=plastivs!$H$15,plastivs!AP88,plastivs!AQ88)</f>
        <v>6.85</v>
      </c>
      <c r="AQ89" s="234"/>
      <c r="AR89" s="233">
        <f>+IF(DIM!$AD$15=plastivs!$H$15,plastivs!AR88,plastivs!AS88)</f>
        <v>6.9499999999999993</v>
      </c>
      <c r="AS89" s="234"/>
    </row>
    <row r="90" spans="5:45" hidden="1" x14ac:dyDescent="0.2">
      <c r="F90" t="s">
        <v>48</v>
      </c>
      <c r="G90" s="100">
        <f>+DIM!S32</f>
        <v>5</v>
      </c>
      <c r="K90" s="102">
        <f>+HLOOKUP(G90,H60:O89,30,FALSE)</f>
        <v>5.8</v>
      </c>
      <c r="Q90" s="100">
        <f>+DIM!S32</f>
        <v>5</v>
      </c>
      <c r="U90" s="102">
        <f>+HLOOKUP(Q90,R60:Y89,30,FALSE)</f>
        <v>5.85</v>
      </c>
      <c r="AA90" s="100">
        <f>+DIM!S32</f>
        <v>5</v>
      </c>
      <c r="AE90" s="102">
        <f>+HLOOKUP(AA90,AB60:AI89,30,FALSE)</f>
        <v>6.6999999999999993</v>
      </c>
      <c r="AK90" s="100">
        <f>+DIM!S32</f>
        <v>5</v>
      </c>
      <c r="AO90" s="102">
        <f>+HLOOKUP(AK90,AL60:AS89,30,FALSE)</f>
        <v>6.15</v>
      </c>
    </row>
    <row r="91" spans="5:45" hidden="1" x14ac:dyDescent="0.2">
      <c r="E91">
        <f>+DIM!Q32</f>
        <v>15</v>
      </c>
      <c r="F91" t="s">
        <v>65</v>
      </c>
      <c r="K91" s="103" t="str">
        <f>+K56&amp;"+"&amp;G90&amp;" "&amp;L56</f>
        <v>12+5 JUM</v>
      </c>
      <c r="U91" s="103" t="str">
        <f>+U56&amp;"+"&amp;Q90&amp;" "&amp;V56</f>
        <v>12+5 JUM</v>
      </c>
      <c r="AE91" s="103" t="str">
        <f>+AE56&amp;"+"&amp;AA90&amp;" "&amp;AF56</f>
        <v>15+5 JUM</v>
      </c>
      <c r="AO91" s="103" t="str">
        <f>+AO56&amp;"+"&amp;AK90&amp;" "&amp;AP56</f>
        <v>15+5 JUM</v>
      </c>
    </row>
    <row r="92" spans="5:45" hidden="1" x14ac:dyDescent="0.2">
      <c r="F92" t="s">
        <v>66</v>
      </c>
      <c r="G92" t="str">
        <f>+G46</f>
        <v>avec etai</v>
      </c>
      <c r="K92" s="98">
        <f>+HLOOKUP(G90,H60:O86,27,FALSE)</f>
        <v>236</v>
      </c>
      <c r="U92" s="98">
        <f>+HLOOKUP(Q90,R60:Y86,27,FALSE)</f>
        <v>194</v>
      </c>
      <c r="AE92" s="98">
        <f>+HLOOKUP(AA90,AB60:AI86,27,FALSE)</f>
        <v>255</v>
      </c>
      <c r="AO92" s="98">
        <f>+HLOOKUP(AK90,AL60:AS86,27,FALSE)</f>
        <v>255</v>
      </c>
    </row>
    <row r="93" spans="5:45" hidden="1" x14ac:dyDescent="0.2">
      <c r="F93">
        <v>12</v>
      </c>
      <c r="G93">
        <f>+IF($G$46="avec etai",K90,U90)</f>
        <v>5.8</v>
      </c>
      <c r="H93">
        <f>+IF($G$46="avec etai",K92,U92)</f>
        <v>236</v>
      </c>
      <c r="I93">
        <f>+IF($G$46="avec etai",K93,U93)</f>
        <v>74</v>
      </c>
      <c r="J93">
        <f>+IF($G$46="avec etai",K94,U94)</f>
        <v>26.99</v>
      </c>
      <c r="K93" s="98">
        <f>+HLOOKUP(G90,H60:O87,28,FALSE)</f>
        <v>74</v>
      </c>
      <c r="U93" s="98">
        <f>+HLOOKUP(Q90,R60:Y87,28,FALSE)</f>
        <v>68.5</v>
      </c>
      <c r="AE93" s="98">
        <f>+HLOOKUP(AA90,AB60:AI87,28,FALSE)</f>
        <v>84.5</v>
      </c>
      <c r="AO93" s="98">
        <f>+HLOOKUP(AK90,AL60:AS87,28,FALSE)</f>
        <v>84.5</v>
      </c>
    </row>
    <row r="94" spans="5:45" hidden="1" x14ac:dyDescent="0.2">
      <c r="F94">
        <v>15</v>
      </c>
      <c r="G94">
        <f>+IF($G$46="avec etai",AE90,AO90)</f>
        <v>6.6999999999999993</v>
      </c>
      <c r="H94">
        <f>+IF($G$46="avec etai",AE92,AO92)</f>
        <v>255</v>
      </c>
      <c r="I94">
        <f>+IF($G$46="avec etai",AE93,AO93)</f>
        <v>84.5</v>
      </c>
      <c r="J94">
        <f>+IF($G$46="avec etai",AE94,AO94)</f>
        <v>29.63</v>
      </c>
      <c r="K94" s="98">
        <f>+HLOOKUP(K91,H101:O103,3,FALSE)</f>
        <v>26.99</v>
      </c>
      <c r="U94" s="98">
        <f>+HLOOKUP(U91,R101:Y103,3,FALSE)</f>
        <v>27.79</v>
      </c>
      <c r="AE94" s="98">
        <f>+HLOOKUP(AE91,AB101:AI103,3,FALSE)</f>
        <v>29.63</v>
      </c>
      <c r="AO94" s="98">
        <f>+HLOOKUP(AO91,AL101:AS103,3,FALSE)</f>
        <v>29.63</v>
      </c>
    </row>
    <row r="95" spans="5:45" ht="19.5" hidden="1" x14ac:dyDescent="0.35">
      <c r="F95">
        <v>20</v>
      </c>
      <c r="G95" t="s">
        <v>100</v>
      </c>
      <c r="K95" s="97">
        <v>12</v>
      </c>
      <c r="L95" s="97" t="s">
        <v>87</v>
      </c>
      <c r="U95" s="97">
        <v>12</v>
      </c>
      <c r="V95" s="97" t="s">
        <v>87</v>
      </c>
      <c r="AE95" s="97">
        <v>15</v>
      </c>
      <c r="AF95" s="97" t="s">
        <v>87</v>
      </c>
      <c r="AO95" s="97">
        <v>15</v>
      </c>
      <c r="AP95" s="97" t="s">
        <v>87</v>
      </c>
    </row>
    <row r="96" spans="5:45" hidden="1" x14ac:dyDescent="0.2">
      <c r="E96" t="s">
        <v>70</v>
      </c>
      <c r="F96" t="s">
        <v>74</v>
      </c>
      <c r="G96">
        <f>IF($E$91&gt;15,"--",+VLOOKUP(DIM!Q32,plastivs!F93:I95,2,FALSE))</f>
        <v>6.6999999999999993</v>
      </c>
      <c r="K96" s="98" t="s">
        <v>78</v>
      </c>
      <c r="U96" s="98" t="s">
        <v>83</v>
      </c>
      <c r="AE96" s="98" t="s">
        <v>84</v>
      </c>
      <c r="AO96" s="98" t="s">
        <v>79</v>
      </c>
    </row>
    <row r="97" spans="4:65" hidden="1" x14ac:dyDescent="0.2">
      <c r="D97" s="98" t="s">
        <v>301</v>
      </c>
      <c r="F97" t="s">
        <v>75</v>
      </c>
      <c r="G97">
        <f>IF($E$91&gt;15,0,+VLOOKUP(DIM!Q32,plastivs!F93:I95,3,FALSE))</f>
        <v>255</v>
      </c>
    </row>
    <row r="98" spans="4:65" hidden="1" x14ac:dyDescent="0.2">
      <c r="D98" s="98" t="s">
        <v>129</v>
      </c>
      <c r="F98" t="s">
        <v>72</v>
      </c>
      <c r="G98">
        <f>IF($E$91&gt;15,0,+VLOOKUP(DIM!Q32,plastivs!F93:I95,4,FALSE))</f>
        <v>84.5</v>
      </c>
    </row>
    <row r="99" spans="4:65" hidden="1" x14ac:dyDescent="0.2">
      <c r="F99" t="s">
        <v>274</v>
      </c>
      <c r="G99">
        <f>IF($E$91&gt;15,0,+VLOOKUP(DIM!Q32,F93:J95,5,FALSE))</f>
        <v>29.63</v>
      </c>
    </row>
    <row r="100" spans="4:65" hidden="1" x14ac:dyDescent="0.2"/>
    <row r="101" spans="4:65" hidden="1" x14ac:dyDescent="0.2">
      <c r="G101" s="98" t="s">
        <v>129</v>
      </c>
      <c r="H101" s="236" t="s">
        <v>302</v>
      </c>
      <c r="I101" s="236"/>
      <c r="J101" s="236" t="s">
        <v>303</v>
      </c>
      <c r="K101" s="236"/>
      <c r="L101" s="236" t="s">
        <v>304</v>
      </c>
      <c r="M101" s="236"/>
      <c r="N101" s="236" t="s">
        <v>305</v>
      </c>
      <c r="O101" s="236"/>
      <c r="Q101" t="s">
        <v>129</v>
      </c>
      <c r="R101" s="236" t="s">
        <v>302</v>
      </c>
      <c r="S101" s="236"/>
      <c r="T101" s="236" t="s">
        <v>303</v>
      </c>
      <c r="U101" s="236"/>
      <c r="V101" s="236" t="s">
        <v>304</v>
      </c>
      <c r="W101" s="236"/>
      <c r="X101" s="236" t="s">
        <v>305</v>
      </c>
      <c r="Y101" s="236"/>
      <c r="AA101" t="s">
        <v>129</v>
      </c>
      <c r="AB101" s="236" t="s">
        <v>306</v>
      </c>
      <c r="AC101" s="236"/>
      <c r="AD101" s="236" t="s">
        <v>307</v>
      </c>
      <c r="AE101" s="236"/>
      <c r="AF101" s="236" t="s">
        <v>308</v>
      </c>
      <c r="AG101" s="236"/>
      <c r="AH101" s="236" t="s">
        <v>309</v>
      </c>
      <c r="AI101" s="236"/>
      <c r="AK101" t="s">
        <v>129</v>
      </c>
      <c r="AL101" s="236" t="s">
        <v>306</v>
      </c>
      <c r="AM101" s="236"/>
      <c r="AN101" s="236" t="s">
        <v>307</v>
      </c>
      <c r="AO101" s="236"/>
      <c r="AP101" s="236" t="s">
        <v>308</v>
      </c>
      <c r="AQ101" s="236"/>
      <c r="AR101" s="236" t="s">
        <v>309</v>
      </c>
      <c r="AS101" s="236"/>
      <c r="AU101" t="s">
        <v>129</v>
      </c>
      <c r="AV101" s="236" t="s">
        <v>119</v>
      </c>
      <c r="AW101" s="236"/>
      <c r="AX101" s="236" t="s">
        <v>120</v>
      </c>
      <c r="AY101" s="236"/>
      <c r="AZ101" s="236" t="s">
        <v>121</v>
      </c>
      <c r="BA101" s="236"/>
      <c r="BB101" s="236" t="s">
        <v>122</v>
      </c>
      <c r="BC101" s="236"/>
      <c r="BE101" t="s">
        <v>129</v>
      </c>
      <c r="BF101" s="236" t="s">
        <v>119</v>
      </c>
      <c r="BG101" s="236"/>
      <c r="BH101" s="236" t="s">
        <v>120</v>
      </c>
      <c r="BI101" s="236"/>
      <c r="BJ101" s="236" t="s">
        <v>121</v>
      </c>
      <c r="BK101" s="236"/>
      <c r="BL101" s="236" t="s">
        <v>122</v>
      </c>
      <c r="BM101" s="236"/>
    </row>
    <row r="102" spans="4:65" hidden="1" x14ac:dyDescent="0.2">
      <c r="F102" s="100">
        <f>+DIM!S10-0.01</f>
        <v>4.99</v>
      </c>
      <c r="H102" s="236">
        <f>+IF(H89&gt;$F$102,1,0)</f>
        <v>1</v>
      </c>
      <c r="I102" s="236"/>
      <c r="J102" s="236">
        <f t="shared" ref="J102" si="16">+IF(J89&gt;$F$102,1,0)</f>
        <v>1</v>
      </c>
      <c r="K102" s="236"/>
      <c r="L102" s="236">
        <f t="shared" ref="L102" si="17">+IF(L89&gt;$F$102,1,0)</f>
        <v>1</v>
      </c>
      <c r="M102" s="236"/>
      <c r="N102" s="236">
        <f t="shared" ref="N102" si="18">+IF(N89&gt;$F$102,1,0)</f>
        <v>1</v>
      </c>
      <c r="O102" s="236"/>
      <c r="R102" s="236">
        <f t="shared" ref="R102:X102" si="19">+IF(R89&gt;$F$102,1,0)</f>
        <v>1</v>
      </c>
      <c r="S102" s="236"/>
      <c r="T102" s="236">
        <f t="shared" si="19"/>
        <v>1</v>
      </c>
      <c r="U102" s="236"/>
      <c r="V102" s="236">
        <f t="shared" si="19"/>
        <v>1</v>
      </c>
      <c r="W102" s="236"/>
      <c r="X102" s="236">
        <f t="shared" si="19"/>
        <v>1</v>
      </c>
      <c r="Y102" s="236"/>
      <c r="AB102" s="236">
        <f t="shared" ref="AB102:AH102" si="20">+IF(AB89&gt;$F$102,1,0)</f>
        <v>1</v>
      </c>
      <c r="AC102" s="236"/>
      <c r="AD102" s="236">
        <f t="shared" si="20"/>
        <v>1</v>
      </c>
      <c r="AE102" s="236"/>
      <c r="AF102" s="236">
        <f t="shared" si="20"/>
        <v>1</v>
      </c>
      <c r="AG102" s="236"/>
      <c r="AH102" s="236">
        <f t="shared" si="20"/>
        <v>1</v>
      </c>
      <c r="AI102" s="236"/>
      <c r="AL102" s="236">
        <f t="shared" ref="AL102:AR102" si="21">+IF(AL89&gt;$F$102,1,0)</f>
        <v>1</v>
      </c>
      <c r="AM102" s="236"/>
      <c r="AN102" s="236">
        <f t="shared" si="21"/>
        <v>1</v>
      </c>
      <c r="AO102" s="236"/>
      <c r="AP102" s="236">
        <f t="shared" si="21"/>
        <v>1</v>
      </c>
      <c r="AQ102" s="236"/>
      <c r="AR102" s="236">
        <f t="shared" si="21"/>
        <v>1</v>
      </c>
      <c r="AS102" s="236"/>
      <c r="AV102" s="236">
        <f t="shared" ref="AV102:BB102" si="22">+IF(AV89&gt;$F$102,1,0)</f>
        <v>0</v>
      </c>
      <c r="AW102" s="236"/>
      <c r="AX102" s="236">
        <f t="shared" si="22"/>
        <v>0</v>
      </c>
      <c r="AY102" s="236"/>
      <c r="AZ102" s="236">
        <f t="shared" si="22"/>
        <v>0</v>
      </c>
      <c r="BA102" s="236"/>
      <c r="BB102" s="236">
        <f t="shared" si="22"/>
        <v>0</v>
      </c>
      <c r="BC102" s="236"/>
      <c r="BF102" s="236">
        <f t="shared" ref="BF102:BL102" si="23">+IF(BF89&gt;$F$102,1,0)</f>
        <v>0</v>
      </c>
      <c r="BG102" s="236"/>
      <c r="BH102" s="236">
        <f t="shared" si="23"/>
        <v>0</v>
      </c>
      <c r="BI102" s="236"/>
      <c r="BJ102" s="236">
        <f t="shared" si="23"/>
        <v>0</v>
      </c>
      <c r="BK102" s="236"/>
      <c r="BL102" s="236">
        <f t="shared" si="23"/>
        <v>0</v>
      </c>
      <c r="BM102" s="236"/>
    </row>
    <row r="103" spans="4:65" hidden="1" x14ac:dyDescent="0.2">
      <c r="F103" s="100"/>
      <c r="H103">
        <v>26.99</v>
      </c>
      <c r="J103">
        <f>1.97+H103</f>
        <v>28.959999999999997</v>
      </c>
      <c r="L103">
        <f>3.94+H103</f>
        <v>30.93</v>
      </c>
      <c r="N103">
        <f>5.91+H103</f>
        <v>32.9</v>
      </c>
      <c r="O103" s="49"/>
      <c r="R103">
        <v>27.79</v>
      </c>
      <c r="T103">
        <f>1.97+R103</f>
        <v>29.759999999999998</v>
      </c>
      <c r="V103">
        <f>3.94+R103</f>
        <v>31.73</v>
      </c>
      <c r="X103">
        <f>5.91+R103</f>
        <v>33.700000000000003</v>
      </c>
      <c r="Y103" s="49"/>
      <c r="AB103">
        <v>29.63</v>
      </c>
      <c r="AD103">
        <f>1.97+AB103</f>
        <v>31.599999999999998</v>
      </c>
      <c r="AF103">
        <f>3.94+AB103</f>
        <v>33.57</v>
      </c>
      <c r="AH103">
        <f>5.91+AB103</f>
        <v>35.54</v>
      </c>
      <c r="AI103" s="49"/>
      <c r="AL103">
        <v>29.63</v>
      </c>
      <c r="AN103">
        <f>1.97+AL103</f>
        <v>31.599999999999998</v>
      </c>
      <c r="AP103">
        <f>3.94+AL103</f>
        <v>33.57</v>
      </c>
      <c r="AR103">
        <f>5.91+AL103</f>
        <v>35.54</v>
      </c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4:65" hidden="1" x14ac:dyDescent="0.2">
      <c r="F104" s="100"/>
      <c r="H104" s="49"/>
      <c r="J104" t="s">
        <v>123</v>
      </c>
      <c r="L104" t="s">
        <v>129</v>
      </c>
      <c r="T104" t="s">
        <v>124</v>
      </c>
      <c r="V104" t="s">
        <v>129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4:65" hidden="1" x14ac:dyDescent="0.2">
      <c r="F105" s="100"/>
      <c r="H105" s="49"/>
      <c r="K105" t="str">
        <f>+IF(H102=1,H101,IF(J102=1,J101,IF(L102=1,L101,IF(N102=1,N101,0))))</f>
        <v>12+5 JUM</v>
      </c>
      <c r="L105" t="str">
        <f>+AE105</f>
        <v>15+5 JUM</v>
      </c>
      <c r="M105">
        <f>+AY105</f>
        <v>0</v>
      </c>
      <c r="U105" t="str">
        <f>+IF(R102=1,R101,IF(T102=1,T101,IF(V102=1,V101,IF(X102=1,X101,0))))</f>
        <v>12+5 JUM</v>
      </c>
      <c r="V105" t="str">
        <f>+AO105</f>
        <v>15+5 JUM</v>
      </c>
      <c r="W105">
        <f>+AY105</f>
        <v>0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 JUM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 JUM</v>
      </c>
      <c r="AP105" s="49"/>
      <c r="AQ105" s="49"/>
      <c r="AR105" s="49"/>
      <c r="AS105" s="49"/>
      <c r="AV105" s="49"/>
      <c r="AW105" s="49"/>
      <c r="AX105" s="49"/>
      <c r="AY105">
        <f>+IF(AV102=1,AV101,IF(AX102=1,AX101,IF(AZ102=1,AZ101,IF(BB102=1,BB101,0))))</f>
        <v>0</v>
      </c>
      <c r="AZ105" s="49"/>
      <c r="BA105" s="49"/>
      <c r="BB105" s="49"/>
      <c r="BC105" s="49"/>
      <c r="BF105" s="49"/>
      <c r="BG105" s="49"/>
      <c r="BH105" s="49"/>
      <c r="BI105">
        <f>+IF(BF102=1,BF101,IF(BH102=1,BH101,IF(BJ102=1,BJ101,IF(BL102=1,BL101,0))))</f>
        <v>0</v>
      </c>
      <c r="BJ105" s="49"/>
      <c r="BK105" s="49"/>
      <c r="BL105" s="49"/>
      <c r="BM105" s="49"/>
    </row>
    <row r="106" spans="4:65" hidden="1" x14ac:dyDescent="0.2">
      <c r="F106" s="100"/>
      <c r="H106" s="49"/>
      <c r="J106" s="98" t="str">
        <f>+IF(K105&gt;0,K105,IF(L105&gt;0,L105,IF(M105&gt;0,M105,"hors limite")))</f>
        <v>12+5 JUM</v>
      </c>
      <c r="T106" s="98" t="str">
        <f>+IF(U105&gt;0,U105,IF(V105&gt;0,V105,IF(W105&gt;0,W105,"hors limite")))</f>
        <v>12+5 JUM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4:65" hidden="1" x14ac:dyDescent="0.2">
      <c r="F107" s="98" t="s">
        <v>314</v>
      </c>
      <c r="H107" s="49"/>
      <c r="I107" t="s">
        <v>75</v>
      </c>
      <c r="J107" s="98">
        <f>+IF(K105&gt;0,K107,IF(L105&gt;0,L107,IF(M105&gt;0,M107,0)))</f>
        <v>236</v>
      </c>
      <c r="K107">
        <f>+HLOOKUP(J106,H59:O88,28,FALSE)</f>
        <v>236</v>
      </c>
      <c r="L107">
        <f>+HLOOKUP(L105,AB59:AI88,28,FALSE)</f>
        <v>255</v>
      </c>
      <c r="M107" t="e">
        <f>+HLOOKUP(M105,AV59:BC88,28,FALSE)</f>
        <v>#N/A</v>
      </c>
      <c r="T107" s="98">
        <f>+IF(U105&gt;0,U107,IF(V105&gt;0,V107,IF(W105&gt;0,W107,0)))</f>
        <v>194</v>
      </c>
      <c r="U107">
        <f>+HLOOKUP(U105,R59:Y88,28,FALSE)</f>
        <v>194</v>
      </c>
      <c r="V107">
        <f>+HLOOKUP(V105,AL59:AS88,28,FALSE)</f>
        <v>255</v>
      </c>
      <c r="W107" t="e">
        <f>+HLOOKUP(W105,BF59:BM88,25,FALSE)</f>
        <v>#N/A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4:65" hidden="1" x14ac:dyDescent="0.2">
      <c r="F108" s="100"/>
      <c r="H108" s="49"/>
      <c r="I108" t="s">
        <v>72</v>
      </c>
      <c r="J108" s="98">
        <f>+IF(K105&gt;0,K108,IF(L105&gt;0,L108,IF(M105&gt;0,M108,0)))</f>
        <v>74</v>
      </c>
      <c r="K108">
        <f>+HLOOKUP(J106,H59:O88,29,FALSE)</f>
        <v>74</v>
      </c>
      <c r="L108">
        <f>+HLOOKUP(L105,AB59:AI88,29,FALSE)</f>
        <v>84.5</v>
      </c>
      <c r="M108" t="e">
        <f>+HLOOKUP(M105,AV59:BC88,26,FALSE)</f>
        <v>#N/A</v>
      </c>
      <c r="T108" s="98">
        <f>+IF(U105&gt;0,U108,IF(V105&gt;0,V108,IF(W105&gt;0,W108,0)))</f>
        <v>68.5</v>
      </c>
      <c r="U108">
        <f>+HLOOKUP(U105,R59:Y88,29,FALSE)</f>
        <v>68.5</v>
      </c>
      <c r="V108">
        <f>+HLOOKUP(V105,AL59:AS88,29,FALSE)</f>
        <v>84.5</v>
      </c>
      <c r="W108" t="e">
        <f>+HLOOKUP(W105,BF59:BM88,26,FALSE)</f>
        <v>#N/A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4:65" hidden="1" x14ac:dyDescent="0.2">
      <c r="F109" s="100"/>
      <c r="H109" s="49"/>
      <c r="I109" s="49" t="s">
        <v>275</v>
      </c>
      <c r="J109" s="98">
        <f>+IF(K105&gt;0,K109,IF(L105&gt;0,L109,IF(M105&gt;0,M109,0)))</f>
        <v>26.99</v>
      </c>
      <c r="K109">
        <f>+HLOOKUP(K105,H101:O103,3,FALSE)</f>
        <v>26.99</v>
      </c>
      <c r="L109">
        <f>+HLOOKUP(L105,AB101:AI103,3,FALSE)</f>
        <v>29.63</v>
      </c>
      <c r="M109" s="49"/>
      <c r="N109" s="49"/>
      <c r="O109" s="49"/>
      <c r="R109" s="49"/>
      <c r="S109" s="49"/>
      <c r="T109" s="98">
        <f>+IF(U105&gt;0,U109,IF(V105&gt;0,V109,IF(W105&gt;0,W109,0)))</f>
        <v>27.79</v>
      </c>
      <c r="U109">
        <f>+HLOOKUP(U105,R101:Y103,3,FALSE)</f>
        <v>27.79</v>
      </c>
      <c r="V109">
        <f>+HLOOKUP(V105,AL101:AS103,3,FALSE)</f>
        <v>29.63</v>
      </c>
      <c r="W109" s="49"/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4:65" hidden="1" x14ac:dyDescent="0.2">
      <c r="F110" s="100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98" t="s">
        <v>84</v>
      </c>
      <c r="AO110" s="98" t="s">
        <v>79</v>
      </c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4:65" hidden="1" x14ac:dyDescent="0.2">
      <c r="J111" s="98"/>
      <c r="K111" s="98" t="s">
        <v>84</v>
      </c>
      <c r="U111" s="98" t="s">
        <v>79</v>
      </c>
    </row>
    <row r="112" spans="4:65" hidden="1" x14ac:dyDescent="0.2">
      <c r="J112" s="98"/>
    </row>
    <row r="113" spans="6:65" hidden="1" x14ac:dyDescent="0.2">
      <c r="G113" s="98" t="s">
        <v>88</v>
      </c>
      <c r="H113" s="236" t="s">
        <v>111</v>
      </c>
      <c r="I113" s="236"/>
      <c r="J113" s="236" t="s">
        <v>112</v>
      </c>
      <c r="K113" s="236"/>
      <c r="L113" s="236" t="s">
        <v>113</v>
      </c>
      <c r="M113" s="236"/>
      <c r="N113" s="236" t="s">
        <v>114</v>
      </c>
      <c r="O113" s="236"/>
      <c r="Q113" t="s">
        <v>88</v>
      </c>
      <c r="R113" s="236" t="s">
        <v>111</v>
      </c>
      <c r="S113" s="236"/>
      <c r="T113" s="236" t="s">
        <v>112</v>
      </c>
      <c r="U113" s="236"/>
      <c r="V113" s="236" t="s">
        <v>113</v>
      </c>
      <c r="W113" s="236"/>
      <c r="X113" s="236" t="s">
        <v>114</v>
      </c>
      <c r="Y113" s="236"/>
      <c r="AA113" t="s">
        <v>88</v>
      </c>
      <c r="AB113" s="236" t="s">
        <v>115</v>
      </c>
      <c r="AC113" s="236"/>
      <c r="AD113" s="236" t="s">
        <v>116</v>
      </c>
      <c r="AE113" s="236"/>
      <c r="AF113" s="236" t="s">
        <v>117</v>
      </c>
      <c r="AG113" s="236"/>
      <c r="AH113" s="236" t="s">
        <v>118</v>
      </c>
      <c r="AI113" s="236"/>
      <c r="AK113" t="s">
        <v>88</v>
      </c>
      <c r="AL113" s="236" t="s">
        <v>115</v>
      </c>
      <c r="AM113" s="236"/>
      <c r="AN113" s="236" t="s">
        <v>116</v>
      </c>
      <c r="AO113" s="236"/>
      <c r="AP113" s="236" t="s">
        <v>117</v>
      </c>
      <c r="AQ113" s="236"/>
      <c r="AR113" s="236" t="s">
        <v>118</v>
      </c>
      <c r="AS113" s="236"/>
      <c r="AU113" t="s">
        <v>88</v>
      </c>
      <c r="AV113" s="236" t="s">
        <v>119</v>
      </c>
      <c r="AW113" s="236"/>
      <c r="AX113" s="236" t="s">
        <v>120</v>
      </c>
      <c r="AY113" s="236"/>
      <c r="AZ113" s="236" t="s">
        <v>121</v>
      </c>
      <c r="BA113" s="236"/>
      <c r="BB113" s="236" t="s">
        <v>122</v>
      </c>
      <c r="BC113" s="236"/>
      <c r="BE113" t="s">
        <v>88</v>
      </c>
      <c r="BF113" s="236" t="s">
        <v>119</v>
      </c>
      <c r="BG113" s="236"/>
      <c r="BH113" s="236" t="s">
        <v>120</v>
      </c>
      <c r="BI113" s="236"/>
      <c r="BJ113" s="236" t="s">
        <v>121</v>
      </c>
      <c r="BK113" s="236"/>
      <c r="BL113" s="236" t="s">
        <v>122</v>
      </c>
      <c r="BM113" s="236"/>
    </row>
    <row r="114" spans="6:65" hidden="1" x14ac:dyDescent="0.2">
      <c r="F114" s="100"/>
      <c r="H114" s="236">
        <f>+IF(H43&gt;$F$102,1,0)</f>
        <v>1</v>
      </c>
      <c r="I114" s="236"/>
      <c r="J114" s="236">
        <f t="shared" ref="J114" si="24">+IF(J43&gt;$F$102,1,0)</f>
        <v>1</v>
      </c>
      <c r="K114" s="236"/>
      <c r="L114" s="236">
        <f t="shared" ref="L114" si="25">+IF(L43&gt;$F$102,1,0)</f>
        <v>1</v>
      </c>
      <c r="M114" s="236"/>
      <c r="N114" s="236">
        <f t="shared" ref="N114" si="26">+IF(N43&gt;$F$102,1,0)</f>
        <v>1</v>
      </c>
      <c r="O114" s="236"/>
      <c r="R114" s="236">
        <f>+IF(R43&gt;$F$102,1,0)</f>
        <v>0</v>
      </c>
      <c r="S114" s="236"/>
      <c r="T114" s="236">
        <f t="shared" ref="T114" si="27">+IF(T43&gt;$F$102,1,0)</f>
        <v>0</v>
      </c>
      <c r="U114" s="236"/>
      <c r="V114" s="236">
        <f t="shared" ref="V114" si="28">+IF(V43&gt;$F$102,1,0)</f>
        <v>0</v>
      </c>
      <c r="W114" s="236"/>
      <c r="X114" s="236">
        <f t="shared" ref="X114" si="29">+IF(X43&gt;$F$102,1,0)</f>
        <v>0</v>
      </c>
      <c r="Y114" s="236"/>
      <c r="AB114" s="236">
        <f>+IF(AB43&gt;$F$102,1,0)</f>
        <v>1</v>
      </c>
      <c r="AC114" s="236"/>
      <c r="AD114" s="236">
        <f t="shared" ref="AD114" si="30">+IF(AD43&gt;$F$102,1,0)</f>
        <v>1</v>
      </c>
      <c r="AE114" s="236"/>
      <c r="AF114" s="236">
        <f t="shared" ref="AF114" si="31">+IF(AF43&gt;$F$102,1,0)</f>
        <v>1</v>
      </c>
      <c r="AG114" s="236"/>
      <c r="AH114" s="236">
        <f t="shared" ref="AH114" si="32">+IF(AH43&gt;$F$102,1,0)</f>
        <v>1</v>
      </c>
      <c r="AI114" s="236"/>
      <c r="AL114" s="236">
        <f>+IF(AL43&gt;$F$102,1,0)</f>
        <v>0</v>
      </c>
      <c r="AM114" s="236"/>
      <c r="AN114" s="236">
        <f t="shared" ref="AN114" si="33">+IF(AN43&gt;$F$102,1,0)</f>
        <v>1</v>
      </c>
      <c r="AO114" s="236"/>
      <c r="AP114" s="236">
        <f t="shared" ref="AP114" si="34">+IF(AP43&gt;$F$102,1,0)</f>
        <v>1</v>
      </c>
      <c r="AQ114" s="236"/>
      <c r="AR114" s="236">
        <f t="shared" ref="AR114" si="35">+IF(AR43&gt;$F$102,1,0)</f>
        <v>1</v>
      </c>
      <c r="AS114" s="236"/>
      <c r="AV114" s="236">
        <f>+IF(AV43&gt;$F$102,1,0)</f>
        <v>0</v>
      </c>
      <c r="AW114" s="236"/>
      <c r="AX114" s="236">
        <f t="shared" ref="AX114" si="36">+IF(AX43&gt;$F$102,1,0)</f>
        <v>0</v>
      </c>
      <c r="AY114" s="236"/>
      <c r="AZ114" s="236">
        <f t="shared" ref="AZ114" si="37">+IF(AZ43&gt;$F$102,1,0)</f>
        <v>0</v>
      </c>
      <c r="BA114" s="236"/>
      <c r="BB114" s="236">
        <f t="shared" ref="BB114" si="38">+IF(BB43&gt;$F$102,1,0)</f>
        <v>0</v>
      </c>
      <c r="BC114" s="236"/>
      <c r="BF114" s="236">
        <f>+IF(BF43&gt;$F$102,1,0)</f>
        <v>0</v>
      </c>
      <c r="BG114" s="236"/>
      <c r="BH114" s="236">
        <f t="shared" ref="BH114" si="39">+IF(BH43&gt;$F$102,1,0)</f>
        <v>0</v>
      </c>
      <c r="BI114" s="236"/>
      <c r="BJ114" s="236">
        <f t="shared" ref="BJ114" si="40">+IF(BJ43&gt;$F$102,1,0)</f>
        <v>0</v>
      </c>
      <c r="BK114" s="236"/>
      <c r="BL114" s="236">
        <f t="shared" ref="BL114" si="41">+IF(BL43&gt;$F$102,1,0)</f>
        <v>0</v>
      </c>
      <c r="BM114" s="236"/>
    </row>
    <row r="115" spans="6:65" hidden="1" x14ac:dyDescent="0.2">
      <c r="H115">
        <v>23.1</v>
      </c>
      <c r="J115">
        <f>1.97+H115</f>
        <v>25.07</v>
      </c>
      <c r="L115">
        <f>3.94+H115</f>
        <v>27.040000000000003</v>
      </c>
      <c r="N115">
        <f>5.91+H115</f>
        <v>29.01</v>
      </c>
      <c r="R115">
        <v>23.27</v>
      </c>
      <c r="T115">
        <f>1.97+R115</f>
        <v>25.24</v>
      </c>
      <c r="V115">
        <f>3.94+R115</f>
        <v>27.21</v>
      </c>
      <c r="X115">
        <f>5.91+R115</f>
        <v>29.18</v>
      </c>
      <c r="AB115">
        <v>25.74</v>
      </c>
      <c r="AD115">
        <f>1.97+AB115</f>
        <v>27.709999999999997</v>
      </c>
      <c r="AF115">
        <f>3.94+AB115</f>
        <v>29.68</v>
      </c>
      <c r="AH115">
        <f>5.91+AB115</f>
        <v>31.65</v>
      </c>
      <c r="AL115">
        <v>25.74</v>
      </c>
      <c r="AN115">
        <f>1.97+AL115</f>
        <v>27.709999999999997</v>
      </c>
      <c r="AP115">
        <f>3.94+AL115</f>
        <v>29.68</v>
      </c>
      <c r="AR115">
        <f>5.91+AL115</f>
        <v>31.65</v>
      </c>
    </row>
    <row r="116" spans="6:65" hidden="1" x14ac:dyDescent="0.2">
      <c r="J116" t="s">
        <v>123</v>
      </c>
      <c r="L116" t="s">
        <v>88</v>
      </c>
      <c r="T116" t="s">
        <v>124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>
        <f>+AY117</f>
        <v>0</v>
      </c>
      <c r="U117">
        <f>+IF(R114=1,R113,IF(T114=1,T113,IF(V114=1,V113,IF(X114=1,X113,0))))</f>
        <v>0</v>
      </c>
      <c r="V117" t="str">
        <f>+AO117</f>
        <v>15+6</v>
      </c>
      <c r="W117">
        <f>+BI117</f>
        <v>0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15+6</v>
      </c>
      <c r="AY117">
        <f>+IF(AV114=1,AV113,IF(AX114=1,AX113,IF(AZ114=1,AZ113,IF(BB114=1,BB113,0))))</f>
        <v>0</v>
      </c>
      <c r="BI117">
        <f>+IF(BF114=1,BF113,IF(BH114=1,BH113,IF(BJ114=1,BJ113,IF(BL114=1,BL113,0))))</f>
        <v>0</v>
      </c>
    </row>
    <row r="118" spans="6:65" hidden="1" x14ac:dyDescent="0.2">
      <c r="J118" s="98" t="str">
        <f>+IF(K117&gt;0,K117,IF(L117&gt;0,L117,IF(M117&gt;0,M117,"à jumeler")))</f>
        <v>12+5</v>
      </c>
      <c r="T118" s="98" t="str">
        <f>+IF(U117&gt;0,U117,IF(V117&gt;0,V117,IF(W117&gt;0,W117,"à jumeler")))</f>
        <v>15+6</v>
      </c>
    </row>
    <row r="119" spans="6:65" hidden="1" x14ac:dyDescent="0.2">
      <c r="I119" t="s">
        <v>75</v>
      </c>
      <c r="J119" s="98">
        <f>+IF(K117&gt;0,K119,IF(L117&gt;0,L119,IF(M117&gt;0,M119,0)))</f>
        <v>205</v>
      </c>
      <c r="K119">
        <f>+HLOOKUP(J118,H13:O42,28,FALSE)</f>
        <v>205</v>
      </c>
      <c r="L119">
        <f>+HLOOKUP(L117,AB13:AI41,28,FALSE)</f>
        <v>238</v>
      </c>
      <c r="M119" t="e">
        <f>+HLOOKUP(M117,AV13:BC41,25,FALSE)</f>
        <v>#N/A</v>
      </c>
      <c r="T119" s="98">
        <f>+IF(U117&gt;0,U119,IF(V117&gt;0,V119,IF(W117&gt;0,W119,0)))</f>
        <v>259</v>
      </c>
      <c r="U119" t="e">
        <f>+HLOOKUP(U117,R13:Y41,28,FALSE)</f>
        <v>#N/A</v>
      </c>
      <c r="V119">
        <f>+HLOOKUP(V117,AL13:AS41,28,FALSE)</f>
        <v>259</v>
      </c>
      <c r="W119" t="e">
        <f>+HLOOKUP(W117,BF13:BM41,25,FALSE)</f>
        <v>#N/A</v>
      </c>
    </row>
    <row r="120" spans="6:65" hidden="1" x14ac:dyDescent="0.2">
      <c r="I120" t="s">
        <v>72</v>
      </c>
      <c r="J120" s="98">
        <f>+IF(K117&gt;0,K120,IF(L117&gt;0,L120,IF(M117&gt;0,M120,0)))</f>
        <v>71.5</v>
      </c>
      <c r="K120">
        <f>+HLOOKUP(J118,H13:O42,29,FALSE)</f>
        <v>71.5</v>
      </c>
      <c r="L120">
        <f>+HLOOKUP(L117,AB13:AI41,29,FALSE)</f>
        <v>82.5</v>
      </c>
      <c r="M120" t="e">
        <f>+HLOOKUP(M118,AV14:BC42,25,FALSE)</f>
        <v>#N/A</v>
      </c>
      <c r="T120" s="98">
        <f>+IF(U117&gt;0,U120,IF(V117&gt;0,V120,IF(W117&gt;0,W120,0)))</f>
        <v>88</v>
      </c>
      <c r="U120" t="e">
        <f>+HLOOKUP(U117,R13:Y41,29,FALSE)</f>
        <v>#N/A</v>
      </c>
      <c r="V120">
        <f>+HLOOKUP(V117,AL13:AS41,29,FALSE)</f>
        <v>88</v>
      </c>
      <c r="W120" t="e">
        <f>+HLOOKUP(W117,BF13:BM41,26,FALSE)</f>
        <v>#N/A</v>
      </c>
    </row>
    <row r="121" spans="6:65" hidden="1" x14ac:dyDescent="0.2">
      <c r="I121" s="49" t="s">
        <v>275</v>
      </c>
      <c r="J121" s="98">
        <f>+IF(K116&gt;0,K121,IF(L116&gt;0,L121,IF(M116&gt;0,M121,0)))</f>
        <v>25.74</v>
      </c>
      <c r="K121">
        <f>+HLOOKUP(K117,H113:O115,3,FALSE)</f>
        <v>23.1</v>
      </c>
      <c r="L121">
        <f>+HLOOKUP(L117,AB113:AI115,3,FALSE)</f>
        <v>25.74</v>
      </c>
      <c r="M121" t="e">
        <f>+HLOOKUP(M117,AV13:BC92,26,FALSE)</f>
        <v>#N/A</v>
      </c>
      <c r="T121" s="98">
        <f>+IF(U117&gt;0,U121,IF(V117&gt;0,V121,IF(W117&gt;0,W121,0)))</f>
        <v>27.709999999999997</v>
      </c>
      <c r="U121" t="e">
        <f>+HLOOKUP(U117,R113:Y115,3,FALSE)</f>
        <v>#N/A</v>
      </c>
      <c r="V121">
        <f>+HLOOKUP(V117,AL113:AS115,3,FALSE)</f>
        <v>27.709999999999997</v>
      </c>
    </row>
    <row r="122" spans="6:65" hidden="1" x14ac:dyDescent="0.2"/>
    <row r="123" spans="6:65" hidden="1" x14ac:dyDescent="0.2"/>
    <row r="124" spans="6:65" hidden="1" x14ac:dyDescent="0.2"/>
  </sheetData>
  <sheetProtection algorithmName="SHA-512" hashValue="QJYfQ9eddC0cX651NrPr4YLvxrdB5TW62z1q6Bztn6VxeAaojzAyMb3aoaK9v49C/NkNM8wFi7OHRE3TVQob5Q==" saltValue="ehLIJozGEdwcOFi0zoMLqA==" spinCount="100000" sheet="1" objects="1" scenarios="1"/>
  <mergeCells count="272">
    <mergeCell ref="BL114:BM114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14:BA114"/>
    <mergeCell ref="BB114:BC114"/>
    <mergeCell ref="BF114:BG114"/>
    <mergeCell ref="BH114:BI114"/>
    <mergeCell ref="BJ114:BK114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13:BA113"/>
    <mergeCell ref="BB113:BC113"/>
    <mergeCell ref="BF113:BG113"/>
    <mergeCell ref="BH113:BI113"/>
    <mergeCell ref="BJ113:BK113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02:BA102"/>
    <mergeCell ref="BB102:BC102"/>
    <mergeCell ref="BF102:BG102"/>
    <mergeCell ref="BH102:BI102"/>
    <mergeCell ref="BJ102:BK102"/>
    <mergeCell ref="BL13:BM13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01:BA101"/>
    <mergeCell ref="BB101:BC101"/>
    <mergeCell ref="BF101:BG101"/>
    <mergeCell ref="BH101:BI101"/>
    <mergeCell ref="BJ101:BK101"/>
    <mergeCell ref="BL59:BM59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  <mergeCell ref="BJ13:BK13"/>
    <mergeCell ref="AP59:AQ59"/>
    <mergeCell ref="AR59:AS59"/>
    <mergeCell ref="AV59:AW59"/>
    <mergeCell ref="AX59:AY59"/>
    <mergeCell ref="AZ59:BA59"/>
    <mergeCell ref="BB59:BC59"/>
    <mergeCell ref="BF59:BG59"/>
    <mergeCell ref="BH59:BI59"/>
    <mergeCell ref="BJ59:BK59"/>
    <mergeCell ref="T59:U59"/>
    <mergeCell ref="V59:W59"/>
    <mergeCell ref="X59:Y59"/>
    <mergeCell ref="AB59:AC59"/>
    <mergeCell ref="AD59:AE59"/>
    <mergeCell ref="AF59:AG59"/>
    <mergeCell ref="AH59:AI59"/>
    <mergeCell ref="AL59:AM59"/>
    <mergeCell ref="AN59:AO59"/>
    <mergeCell ref="AF41:AG41"/>
    <mergeCell ref="AH41:AI41"/>
    <mergeCell ref="T41:U41"/>
    <mergeCell ref="AL43:AM43"/>
    <mergeCell ref="AN43:AO43"/>
    <mergeCell ref="AP43:AQ43"/>
    <mergeCell ref="AR43:AS43"/>
    <mergeCell ref="H43:I43"/>
    <mergeCell ref="J43:K43"/>
    <mergeCell ref="L43:M43"/>
    <mergeCell ref="N43:O43"/>
    <mergeCell ref="R43:S43"/>
    <mergeCell ref="AH43:AI43"/>
    <mergeCell ref="V43:W43"/>
    <mergeCell ref="X43:Y43"/>
    <mergeCell ref="AB43:AC43"/>
    <mergeCell ref="AD43:AE43"/>
    <mergeCell ref="AF43:AG43"/>
    <mergeCell ref="AL40:AM40"/>
    <mergeCell ref="AN40:AO40"/>
    <mergeCell ref="AP40:AQ40"/>
    <mergeCell ref="AR40:AS40"/>
    <mergeCell ref="AH40:AI40"/>
    <mergeCell ref="H41:I41"/>
    <mergeCell ref="J41:K41"/>
    <mergeCell ref="L41:M41"/>
    <mergeCell ref="N41:O41"/>
    <mergeCell ref="R41:S41"/>
    <mergeCell ref="V40:W40"/>
    <mergeCell ref="X40:Y40"/>
    <mergeCell ref="AB40:AC40"/>
    <mergeCell ref="AD40:AE40"/>
    <mergeCell ref="AF40:AG40"/>
    <mergeCell ref="H40:I40"/>
    <mergeCell ref="J40:K40"/>
    <mergeCell ref="L40:M40"/>
    <mergeCell ref="N40:O40"/>
    <mergeCell ref="R40:S40"/>
    <mergeCell ref="AL41:AM41"/>
    <mergeCell ref="AN41:AO41"/>
    <mergeCell ref="AP41:AQ41"/>
    <mergeCell ref="AR41:AS41"/>
    <mergeCell ref="AL14:AM14"/>
    <mergeCell ref="AN14:AO14"/>
    <mergeCell ref="AP14:AQ14"/>
    <mergeCell ref="AR14:AS14"/>
    <mergeCell ref="V14:W14"/>
    <mergeCell ref="X14:Y14"/>
    <mergeCell ref="AB14:AC14"/>
    <mergeCell ref="AD14:AE14"/>
    <mergeCell ref="AF14:AG14"/>
    <mergeCell ref="AH14:AI14"/>
    <mergeCell ref="AB60:AC60"/>
    <mergeCell ref="AD60:AE60"/>
    <mergeCell ref="H60:I60"/>
    <mergeCell ref="J60:K60"/>
    <mergeCell ref="L60:M60"/>
    <mergeCell ref="N60:O60"/>
    <mergeCell ref="R60:S60"/>
    <mergeCell ref="H14:I14"/>
    <mergeCell ref="J14:K14"/>
    <mergeCell ref="L14:M14"/>
    <mergeCell ref="N14:O14"/>
    <mergeCell ref="R14:S14"/>
    <mergeCell ref="T40:U40"/>
    <mergeCell ref="T14:U14"/>
    <mergeCell ref="T43:U43"/>
    <mergeCell ref="V41:W41"/>
    <mergeCell ref="X41:Y41"/>
    <mergeCell ref="AB41:AC41"/>
    <mergeCell ref="AD41:AE41"/>
    <mergeCell ref="H59:I59"/>
    <mergeCell ref="J59:K59"/>
    <mergeCell ref="L59:M59"/>
    <mergeCell ref="N59:O59"/>
    <mergeCell ref="R59:S59"/>
    <mergeCell ref="AR60:AS60"/>
    <mergeCell ref="H86:I86"/>
    <mergeCell ref="J86:K86"/>
    <mergeCell ref="L86:M86"/>
    <mergeCell ref="N86:O86"/>
    <mergeCell ref="R86:S86"/>
    <mergeCell ref="T86:U86"/>
    <mergeCell ref="V86:W86"/>
    <mergeCell ref="X86:Y86"/>
    <mergeCell ref="AB86:AC86"/>
    <mergeCell ref="AD86:AE86"/>
    <mergeCell ref="AF86:AG86"/>
    <mergeCell ref="AH86:AI86"/>
    <mergeCell ref="AL86:AM86"/>
    <mergeCell ref="AN86:AO86"/>
    <mergeCell ref="AP86:AQ86"/>
    <mergeCell ref="AF60:AG60"/>
    <mergeCell ref="AH60:AI60"/>
    <mergeCell ref="AL60:AM60"/>
    <mergeCell ref="AN60:AO60"/>
    <mergeCell ref="AP60:AQ60"/>
    <mergeCell ref="T60:U60"/>
    <mergeCell ref="V60:W60"/>
    <mergeCell ref="X60:Y60"/>
    <mergeCell ref="AR86:AS86"/>
    <mergeCell ref="H87:I87"/>
    <mergeCell ref="J87:K87"/>
    <mergeCell ref="L87:M87"/>
    <mergeCell ref="N87:O87"/>
    <mergeCell ref="R87:S87"/>
    <mergeCell ref="T87:U87"/>
    <mergeCell ref="V87:W87"/>
    <mergeCell ref="X87:Y87"/>
    <mergeCell ref="AB87:AC87"/>
    <mergeCell ref="AD87:AE87"/>
    <mergeCell ref="AF87:AG87"/>
    <mergeCell ref="AH87:AI87"/>
    <mergeCell ref="AL87:AM87"/>
    <mergeCell ref="AN87:AO87"/>
    <mergeCell ref="AP87:AQ87"/>
    <mergeCell ref="AR89:AS89"/>
    <mergeCell ref="AR87:AS87"/>
    <mergeCell ref="H89:I89"/>
    <mergeCell ref="J89:K89"/>
    <mergeCell ref="L89:M89"/>
    <mergeCell ref="N89:O89"/>
    <mergeCell ref="R89:S89"/>
    <mergeCell ref="T89:U89"/>
    <mergeCell ref="V89:W89"/>
    <mergeCell ref="X89:Y89"/>
    <mergeCell ref="AB89:AC89"/>
    <mergeCell ref="AD89:AE89"/>
    <mergeCell ref="AF89:AG89"/>
    <mergeCell ref="AH89:AI89"/>
    <mergeCell ref="AL89:AM89"/>
    <mergeCell ref="AN89:AO89"/>
    <mergeCell ref="AP89:AQ8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0AF7-F84C-46B8-BC53-F3FCF5ED97BA}">
  <dimension ref="D7:BM76"/>
  <sheetViews>
    <sheetView showGridLines="0" topLeftCell="H77" zoomScale="115" zoomScaleNormal="115" workbookViewId="0">
      <selection activeCell="N101" sqref="N101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97" t="s">
        <v>56</v>
      </c>
      <c r="U10" s="97" t="s">
        <v>56</v>
      </c>
      <c r="AE10" s="97" t="s">
        <v>57</v>
      </c>
      <c r="AO10" s="97" t="s">
        <v>57</v>
      </c>
      <c r="AY10" s="97" t="s">
        <v>58</v>
      </c>
      <c r="BI10" s="97" t="s">
        <v>58</v>
      </c>
    </row>
    <row r="11" spans="7:65" hidden="1" x14ac:dyDescent="0.2">
      <c r="K11" s="98" t="s">
        <v>78</v>
      </c>
      <c r="U11" s="98" t="s">
        <v>83</v>
      </c>
      <c r="AE11" s="98" t="s">
        <v>84</v>
      </c>
      <c r="AO11" s="98" t="s">
        <v>79</v>
      </c>
      <c r="AY11" s="98" t="s">
        <v>84</v>
      </c>
      <c r="BI11" s="98" t="s">
        <v>79</v>
      </c>
    </row>
    <row r="12" spans="7:65" hidden="1" x14ac:dyDescent="0.2">
      <c r="AB12">
        <v>158</v>
      </c>
      <c r="AD12">
        <v>179</v>
      </c>
      <c r="AF12">
        <v>189</v>
      </c>
      <c r="AH12">
        <v>189</v>
      </c>
    </row>
    <row r="13" spans="7:65" hidden="1" x14ac:dyDescent="0.2">
      <c r="H13" s="235" t="s">
        <v>131</v>
      </c>
      <c r="I13" s="235"/>
      <c r="J13" s="235" t="s">
        <v>132</v>
      </c>
      <c r="K13" s="235"/>
      <c r="L13" s="235" t="s">
        <v>133</v>
      </c>
      <c r="M13" s="235"/>
      <c r="N13" s="235" t="s">
        <v>134</v>
      </c>
      <c r="O13" s="235"/>
      <c r="R13" s="235" t="s">
        <v>131</v>
      </c>
      <c r="S13" s="235"/>
      <c r="T13" s="235" t="s">
        <v>132</v>
      </c>
      <c r="U13" s="235"/>
      <c r="V13" s="235" t="s">
        <v>133</v>
      </c>
      <c r="W13" s="235"/>
      <c r="X13" s="235" t="s">
        <v>134</v>
      </c>
      <c r="Y13" s="235"/>
      <c r="AB13" s="235" t="s">
        <v>135</v>
      </c>
      <c r="AC13" s="235"/>
      <c r="AD13" s="235" t="s">
        <v>136</v>
      </c>
      <c r="AE13" s="235"/>
      <c r="AF13" s="235" t="s">
        <v>137</v>
      </c>
      <c r="AG13" s="235"/>
      <c r="AH13" s="235" t="s">
        <v>138</v>
      </c>
      <c r="AI13" s="235"/>
      <c r="AL13" s="235" t="s">
        <v>135</v>
      </c>
      <c r="AM13" s="235"/>
      <c r="AN13" s="235" t="s">
        <v>136</v>
      </c>
      <c r="AO13" s="235"/>
      <c r="AP13" s="235" t="s">
        <v>137</v>
      </c>
      <c r="AQ13" s="235"/>
      <c r="AR13" s="235" t="s">
        <v>138</v>
      </c>
      <c r="AS13" s="235"/>
      <c r="AV13" s="235" t="s">
        <v>139</v>
      </c>
      <c r="AW13" s="235"/>
      <c r="AX13" s="235" t="s">
        <v>140</v>
      </c>
      <c r="AY13" s="235"/>
      <c r="AZ13" s="235" t="s">
        <v>141</v>
      </c>
      <c r="BA13" s="235"/>
      <c r="BB13" s="235" t="s">
        <v>142</v>
      </c>
      <c r="BC13" s="235"/>
      <c r="BF13" s="235" t="s">
        <v>139</v>
      </c>
      <c r="BG13" s="235"/>
      <c r="BH13" s="235" t="s">
        <v>140</v>
      </c>
      <c r="BI13" s="235"/>
      <c r="BJ13" s="235" t="s">
        <v>141</v>
      </c>
      <c r="BK13" s="235"/>
      <c r="BL13" s="235" t="s">
        <v>142</v>
      </c>
      <c r="BM13" s="235"/>
    </row>
    <row r="14" spans="7:65" hidden="1" x14ac:dyDescent="0.2">
      <c r="H14" s="235">
        <v>5</v>
      </c>
      <c r="I14" s="235"/>
      <c r="J14" s="235">
        <v>6</v>
      </c>
      <c r="K14" s="235"/>
      <c r="L14" s="235">
        <v>7</v>
      </c>
      <c r="M14" s="235"/>
      <c r="N14" s="235">
        <v>8</v>
      </c>
      <c r="O14" s="235"/>
      <c r="R14" s="235">
        <v>5</v>
      </c>
      <c r="S14" s="235"/>
      <c r="T14" s="235">
        <v>6</v>
      </c>
      <c r="U14" s="235"/>
      <c r="V14" s="235">
        <v>7</v>
      </c>
      <c r="W14" s="235"/>
      <c r="X14" s="235">
        <v>8</v>
      </c>
      <c r="Y14" s="235"/>
      <c r="AB14" s="235">
        <v>5</v>
      </c>
      <c r="AC14" s="235"/>
      <c r="AD14" s="235">
        <v>6</v>
      </c>
      <c r="AE14" s="235"/>
      <c r="AF14" s="235">
        <v>7</v>
      </c>
      <c r="AG14" s="235"/>
      <c r="AH14" s="235">
        <v>8</v>
      </c>
      <c r="AI14" s="235"/>
      <c r="AL14" s="235">
        <v>5</v>
      </c>
      <c r="AM14" s="235"/>
      <c r="AN14" s="235">
        <v>6</v>
      </c>
      <c r="AO14" s="235"/>
      <c r="AP14" s="235">
        <v>7</v>
      </c>
      <c r="AQ14" s="235"/>
      <c r="AR14" s="235">
        <v>8</v>
      </c>
      <c r="AS14" s="235"/>
      <c r="AV14" s="235">
        <v>5</v>
      </c>
      <c r="AW14" s="235"/>
      <c r="AX14" s="235">
        <v>6</v>
      </c>
      <c r="AY14" s="235"/>
      <c r="AZ14" s="235">
        <v>7</v>
      </c>
      <c r="BA14" s="235"/>
      <c r="BB14" s="235">
        <v>8</v>
      </c>
      <c r="BC14" s="235"/>
      <c r="BF14" s="235">
        <v>5</v>
      </c>
      <c r="BG14" s="235"/>
      <c r="BH14" s="235">
        <v>6</v>
      </c>
      <c r="BI14" s="235"/>
      <c r="BJ14" s="235">
        <v>7</v>
      </c>
      <c r="BK14" s="235"/>
      <c r="BL14" s="235">
        <v>8</v>
      </c>
      <c r="BM14" s="235"/>
    </row>
    <row r="15" spans="7:6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  <c r="AV15" s="99" t="s">
        <v>24</v>
      </c>
      <c r="AW15" s="99" t="s">
        <v>25</v>
      </c>
      <c r="AX15" s="99" t="s">
        <v>24</v>
      </c>
      <c r="AY15" s="99" t="s">
        <v>25</v>
      </c>
      <c r="AZ15" s="99" t="s">
        <v>24</v>
      </c>
      <c r="BA15" s="99" t="s">
        <v>25</v>
      </c>
      <c r="BB15" s="99" t="s">
        <v>24</v>
      </c>
      <c r="BC15" s="99" t="s">
        <v>25</v>
      </c>
      <c r="BF15" s="99" t="s">
        <v>24</v>
      </c>
      <c r="BG15" s="99" t="s">
        <v>25</v>
      </c>
      <c r="BH15" s="99" t="s">
        <v>24</v>
      </c>
      <c r="BI15" s="99" t="s">
        <v>25</v>
      </c>
      <c r="BJ15" s="99" t="s">
        <v>24</v>
      </c>
      <c r="BK15" s="99" t="s">
        <v>25</v>
      </c>
      <c r="BL15" s="99" t="s">
        <v>24</v>
      </c>
      <c r="BM15" s="99" t="s">
        <v>25</v>
      </c>
    </row>
    <row r="16" spans="7:65" hidden="1" x14ac:dyDescent="0.2">
      <c r="G16" t="s">
        <v>161</v>
      </c>
      <c r="H16">
        <v>6.6</v>
      </c>
      <c r="I16">
        <v>7</v>
      </c>
      <c r="J16">
        <v>6.75</v>
      </c>
      <c r="K16">
        <v>7.13</v>
      </c>
      <c r="L16">
        <v>6.85</v>
      </c>
      <c r="M16">
        <v>7.2</v>
      </c>
      <c r="N16">
        <v>6.9</v>
      </c>
      <c r="O16">
        <v>7.3</v>
      </c>
      <c r="Q16" t="s">
        <v>161</v>
      </c>
      <c r="R16">
        <v>5.2</v>
      </c>
      <c r="S16">
        <v>5.2</v>
      </c>
      <c r="T16">
        <v>5</v>
      </c>
      <c r="U16">
        <v>5</v>
      </c>
      <c r="V16">
        <v>5</v>
      </c>
      <c r="W16">
        <v>4.9000000000000004</v>
      </c>
      <c r="X16">
        <v>4.7</v>
      </c>
      <c r="Y16">
        <v>4.7</v>
      </c>
      <c r="AA16" t="s">
        <v>161</v>
      </c>
      <c r="AB16">
        <v>8.1999999999999993</v>
      </c>
      <c r="AC16">
        <v>8.75</v>
      </c>
      <c r="AD16">
        <v>8.3000000000000007</v>
      </c>
      <c r="AE16">
        <v>8.9</v>
      </c>
      <c r="AF16">
        <v>8.4499999999999993</v>
      </c>
      <c r="AG16">
        <v>9</v>
      </c>
      <c r="AH16">
        <v>8.5500000000000007</v>
      </c>
      <c r="AI16">
        <v>9</v>
      </c>
      <c r="AK16" t="s">
        <v>161</v>
      </c>
      <c r="AL16">
        <v>6.95</v>
      </c>
      <c r="AM16">
        <v>6.95</v>
      </c>
      <c r="AN16">
        <f>+AL16-0.1</f>
        <v>6.8500000000000005</v>
      </c>
      <c r="AO16">
        <v>6.7</v>
      </c>
      <c r="AP16">
        <v>6.5</v>
      </c>
      <c r="AQ16">
        <v>6.5</v>
      </c>
      <c r="AR16">
        <v>6.3</v>
      </c>
      <c r="AS16">
        <v>6.3</v>
      </c>
      <c r="AU16" t="s">
        <v>161</v>
      </c>
      <c r="AV16">
        <v>9</v>
      </c>
      <c r="AW16">
        <v>9</v>
      </c>
      <c r="AX16">
        <v>9</v>
      </c>
      <c r="AY16">
        <v>9</v>
      </c>
      <c r="AZ16">
        <v>9</v>
      </c>
      <c r="BA16">
        <v>9</v>
      </c>
      <c r="BB16">
        <v>9</v>
      </c>
      <c r="BC16">
        <v>9</v>
      </c>
      <c r="BE16" t="s">
        <v>161</v>
      </c>
      <c r="BF16">
        <v>8.0500000000000007</v>
      </c>
      <c r="BG16">
        <v>8.0500000000000007</v>
      </c>
      <c r="BH16">
        <v>7.75</v>
      </c>
      <c r="BI16">
        <v>7.75</v>
      </c>
      <c r="BJ16">
        <v>7.5</v>
      </c>
      <c r="BK16">
        <v>7.5</v>
      </c>
      <c r="BL16">
        <v>7.3</v>
      </c>
      <c r="BM16">
        <v>7.3</v>
      </c>
    </row>
    <row r="17" spans="7:65" hidden="1" x14ac:dyDescent="0.2">
      <c r="G17" t="s">
        <v>34</v>
      </c>
      <c r="H17">
        <v>6.2</v>
      </c>
      <c r="I17">
        <v>6.6</v>
      </c>
      <c r="J17">
        <v>6.35</v>
      </c>
      <c r="K17">
        <f>0.2+I17</f>
        <v>6.8</v>
      </c>
      <c r="L17">
        <f>0.2+J17</f>
        <v>6.55</v>
      </c>
      <c r="M17">
        <f>0.15+K17</f>
        <v>6.95</v>
      </c>
      <c r="N17">
        <v>6.65</v>
      </c>
      <c r="O17">
        <v>7</v>
      </c>
      <c r="Q17" t="s">
        <v>34</v>
      </c>
      <c r="R17">
        <v>5.2</v>
      </c>
      <c r="S17">
        <v>5.2</v>
      </c>
      <c r="T17">
        <v>5</v>
      </c>
      <c r="U17">
        <v>5</v>
      </c>
      <c r="V17">
        <v>5</v>
      </c>
      <c r="W17">
        <v>4.9000000000000004</v>
      </c>
      <c r="X17">
        <v>4.7</v>
      </c>
      <c r="Y17">
        <v>4.7</v>
      </c>
      <c r="AA17" t="s">
        <v>34</v>
      </c>
      <c r="AB17">
        <v>7.67</v>
      </c>
      <c r="AC17">
        <v>8.25</v>
      </c>
      <c r="AD17">
        <v>7.8</v>
      </c>
      <c r="AE17">
        <v>8.4</v>
      </c>
      <c r="AF17">
        <f t="shared" ref="AF17" si="0">0.2+AD17</f>
        <v>8</v>
      </c>
      <c r="AG17">
        <v>8.6</v>
      </c>
      <c r="AH17">
        <v>8.1</v>
      </c>
      <c r="AI17">
        <v>8.75</v>
      </c>
      <c r="AK17" t="s">
        <v>34</v>
      </c>
      <c r="AL17">
        <v>6.95</v>
      </c>
      <c r="AM17">
        <v>6.95</v>
      </c>
      <c r="AN17">
        <f>+AL17-0.1</f>
        <v>6.8500000000000005</v>
      </c>
      <c r="AO17">
        <v>6.7</v>
      </c>
      <c r="AP17">
        <v>6.5</v>
      </c>
      <c r="AQ17">
        <v>6.5</v>
      </c>
      <c r="AR17">
        <v>6.3</v>
      </c>
      <c r="AS17">
        <v>6.3</v>
      </c>
      <c r="AU17" t="s">
        <v>34</v>
      </c>
      <c r="AV17">
        <v>9</v>
      </c>
      <c r="AW17">
        <v>9</v>
      </c>
      <c r="AX17">
        <v>9</v>
      </c>
      <c r="AY17">
        <v>9</v>
      </c>
      <c r="AZ17">
        <v>9</v>
      </c>
      <c r="BA17">
        <v>9</v>
      </c>
      <c r="BB17">
        <v>9</v>
      </c>
      <c r="BC17">
        <v>9</v>
      </c>
      <c r="BE17" t="s">
        <v>34</v>
      </c>
      <c r="BF17">
        <v>8.0500000000000007</v>
      </c>
      <c r="BG17">
        <v>8.0500000000000007</v>
      </c>
      <c r="BH17">
        <v>7.75</v>
      </c>
      <c r="BI17">
        <v>7.75</v>
      </c>
      <c r="BJ17">
        <v>7.5</v>
      </c>
      <c r="BK17">
        <v>7.5</v>
      </c>
      <c r="BL17">
        <v>7.3</v>
      </c>
      <c r="BM17">
        <v>7.3</v>
      </c>
    </row>
    <row r="18" spans="7:65" hidden="1" x14ac:dyDescent="0.2">
      <c r="G18" t="s">
        <v>35</v>
      </c>
      <c r="H18">
        <v>5.85</v>
      </c>
      <c r="I18">
        <v>6.3</v>
      </c>
      <c r="J18">
        <v>6.05</v>
      </c>
      <c r="K18">
        <f t="shared" ref="K18:K39" si="1">0.2+I18</f>
        <v>6.5</v>
      </c>
      <c r="L18">
        <f t="shared" ref="L18:L39" si="2">0.2+J18</f>
        <v>6.25</v>
      </c>
      <c r="M18">
        <f t="shared" ref="M18:N39" si="3">0.15+K18</f>
        <v>6.65</v>
      </c>
      <c r="N18">
        <v>6.5</v>
      </c>
      <c r="O18">
        <f>0.1+M18</f>
        <v>6.75</v>
      </c>
      <c r="Q18" t="s">
        <v>35</v>
      </c>
      <c r="R18">
        <v>5.05</v>
      </c>
      <c r="S18">
        <v>5.2</v>
      </c>
      <c r="T18">
        <v>4.95</v>
      </c>
      <c r="U18">
        <v>5</v>
      </c>
      <c r="V18">
        <v>4.9000000000000004</v>
      </c>
      <c r="W18">
        <v>4.9000000000000004</v>
      </c>
      <c r="X18">
        <v>4.5999999999999996</v>
      </c>
      <c r="Y18">
        <v>4.7</v>
      </c>
      <c r="AA18" t="s">
        <v>35</v>
      </c>
      <c r="AB18">
        <v>7.25</v>
      </c>
      <c r="AC18">
        <v>7.85</v>
      </c>
      <c r="AD18">
        <v>7.4</v>
      </c>
      <c r="AE18">
        <v>8.0500000000000007</v>
      </c>
      <c r="AF18">
        <f t="shared" ref="AE18:AG37" si="4">0.2+AD18</f>
        <v>7.6000000000000005</v>
      </c>
      <c r="AG18">
        <f t="shared" si="4"/>
        <v>8.25</v>
      </c>
      <c r="AH18">
        <v>7.7</v>
      </c>
      <c r="AI18">
        <v>8.4</v>
      </c>
      <c r="AK18" t="s">
        <v>35</v>
      </c>
      <c r="AL18">
        <v>6.8</v>
      </c>
      <c r="AM18">
        <v>6.95</v>
      </c>
      <c r="AN18">
        <f t="shared" ref="AN18:AN31" si="5">+AL18-0.1</f>
        <v>6.7</v>
      </c>
      <c r="AO18">
        <v>6.7</v>
      </c>
      <c r="AP18">
        <v>6.5</v>
      </c>
      <c r="AQ18">
        <v>6.5</v>
      </c>
      <c r="AR18">
        <v>6.3</v>
      </c>
      <c r="AS18">
        <v>6.3</v>
      </c>
      <c r="AU18" t="s">
        <v>35</v>
      </c>
      <c r="AV18">
        <v>8.8000000000000007</v>
      </c>
      <c r="AW18">
        <v>9</v>
      </c>
      <c r="AX18">
        <v>9</v>
      </c>
      <c r="AY18">
        <v>9</v>
      </c>
      <c r="AZ18">
        <v>9</v>
      </c>
      <c r="BA18">
        <v>9</v>
      </c>
      <c r="BB18">
        <v>9</v>
      </c>
      <c r="BC18">
        <v>9</v>
      </c>
      <c r="BE18" t="s">
        <v>35</v>
      </c>
      <c r="BF18">
        <v>8.0500000000000007</v>
      </c>
      <c r="BG18">
        <v>8.0500000000000007</v>
      </c>
      <c r="BH18">
        <v>7.75</v>
      </c>
      <c r="BI18">
        <v>7.75</v>
      </c>
      <c r="BJ18">
        <v>7.5</v>
      </c>
      <c r="BK18">
        <v>7.5</v>
      </c>
      <c r="BL18">
        <v>7.3</v>
      </c>
      <c r="BM18">
        <v>7.3</v>
      </c>
    </row>
    <row r="19" spans="7:65" hidden="1" x14ac:dyDescent="0.2">
      <c r="G19" t="s">
        <v>36</v>
      </c>
      <c r="H19">
        <v>5.55</v>
      </c>
      <c r="I19">
        <v>6.05</v>
      </c>
      <c r="J19">
        <v>5.75</v>
      </c>
      <c r="K19">
        <f t="shared" si="1"/>
        <v>6.25</v>
      </c>
      <c r="L19">
        <f t="shared" si="2"/>
        <v>5.95</v>
      </c>
      <c r="M19">
        <f t="shared" si="3"/>
        <v>6.4</v>
      </c>
      <c r="N19">
        <v>6.15</v>
      </c>
      <c r="O19">
        <f t="shared" ref="O19:O39" si="6">0.1+M19</f>
        <v>6.5</v>
      </c>
      <c r="Q19" t="s">
        <v>36</v>
      </c>
      <c r="R19">
        <v>4.9000000000000004</v>
      </c>
      <c r="S19">
        <v>5.15</v>
      </c>
      <c r="T19">
        <v>4.8</v>
      </c>
      <c r="U19">
        <v>5</v>
      </c>
      <c r="V19">
        <v>4.6500000000000004</v>
      </c>
      <c r="W19">
        <v>4.9000000000000004</v>
      </c>
      <c r="X19">
        <v>4.55</v>
      </c>
      <c r="Y19">
        <v>4.7</v>
      </c>
      <c r="AA19" t="s">
        <v>36</v>
      </c>
      <c r="AB19">
        <v>6.9</v>
      </c>
      <c r="AC19">
        <v>7.5</v>
      </c>
      <c r="AD19">
        <v>7.1</v>
      </c>
      <c r="AE19">
        <f t="shared" si="4"/>
        <v>7.7</v>
      </c>
      <c r="AF19">
        <f t="shared" ref="AF19" si="7">0.2+AD19</f>
        <v>7.3</v>
      </c>
      <c r="AG19">
        <f t="shared" si="4"/>
        <v>7.9</v>
      </c>
      <c r="AH19">
        <f>0.1+AF19</f>
        <v>7.3999999999999995</v>
      </c>
      <c r="AI19">
        <v>8.1</v>
      </c>
      <c r="AK19" t="s">
        <v>36</v>
      </c>
      <c r="AL19">
        <v>6.6</v>
      </c>
      <c r="AM19">
        <v>6.95</v>
      </c>
      <c r="AN19">
        <f t="shared" si="5"/>
        <v>6.5</v>
      </c>
      <c r="AO19">
        <v>6.7</v>
      </c>
      <c r="AP19">
        <v>6.35</v>
      </c>
      <c r="AQ19">
        <v>6.5</v>
      </c>
      <c r="AR19">
        <v>6.2</v>
      </c>
      <c r="AS19">
        <v>6.3</v>
      </c>
      <c r="AU19" t="s">
        <v>36</v>
      </c>
      <c r="AV19">
        <v>8.4</v>
      </c>
      <c r="AW19">
        <v>9</v>
      </c>
      <c r="AX19">
        <v>8.5500000000000007</v>
      </c>
      <c r="AY19">
        <v>9</v>
      </c>
      <c r="AZ19">
        <v>8.6999999999999993</v>
      </c>
      <c r="BA19">
        <v>9</v>
      </c>
      <c r="BB19">
        <v>8.85</v>
      </c>
      <c r="BC19">
        <v>9</v>
      </c>
      <c r="BE19" t="s">
        <v>36</v>
      </c>
      <c r="BF19">
        <v>8.0500000000000007</v>
      </c>
      <c r="BG19">
        <v>8.0500000000000007</v>
      </c>
      <c r="BH19">
        <v>7.75</v>
      </c>
      <c r="BI19">
        <v>7.75</v>
      </c>
      <c r="BJ19">
        <v>7.5</v>
      </c>
      <c r="BK19">
        <v>7.5</v>
      </c>
      <c r="BL19">
        <v>7.3</v>
      </c>
      <c r="BM19">
        <v>7.3</v>
      </c>
    </row>
    <row r="20" spans="7:65" hidden="1" x14ac:dyDescent="0.2">
      <c r="G20" t="s">
        <v>37</v>
      </c>
      <c r="H20">
        <v>5.35</v>
      </c>
      <c r="I20">
        <v>5.8</v>
      </c>
      <c r="J20">
        <v>5.55</v>
      </c>
      <c r="K20">
        <f t="shared" si="1"/>
        <v>6</v>
      </c>
      <c r="L20">
        <f t="shared" si="2"/>
        <v>5.75</v>
      </c>
      <c r="M20">
        <f t="shared" si="3"/>
        <v>6.15</v>
      </c>
      <c r="N20">
        <v>5.9</v>
      </c>
      <c r="O20">
        <f t="shared" si="6"/>
        <v>6.25</v>
      </c>
      <c r="Q20" t="s">
        <v>37</v>
      </c>
      <c r="R20">
        <v>4.75</v>
      </c>
      <c r="S20">
        <v>5</v>
      </c>
      <c r="T20">
        <v>4.6500000000000004</v>
      </c>
      <c r="U20">
        <v>4.9000000000000004</v>
      </c>
      <c r="V20">
        <v>4.55</v>
      </c>
      <c r="W20">
        <v>4.9000000000000004</v>
      </c>
      <c r="X20">
        <v>4.45</v>
      </c>
      <c r="Y20">
        <v>4.6500000000000004</v>
      </c>
      <c r="AA20" t="s">
        <v>37</v>
      </c>
      <c r="AB20">
        <v>6.6</v>
      </c>
      <c r="AC20">
        <v>7.2</v>
      </c>
      <c r="AD20">
        <v>6.8</v>
      </c>
      <c r="AE20">
        <f t="shared" si="4"/>
        <v>7.4</v>
      </c>
      <c r="AF20">
        <f t="shared" si="4"/>
        <v>7</v>
      </c>
      <c r="AG20">
        <f t="shared" si="4"/>
        <v>7.6000000000000005</v>
      </c>
      <c r="AH20">
        <f t="shared" ref="AH20:AH39" si="8">0.1+AF20</f>
        <v>7.1</v>
      </c>
      <c r="AI20">
        <v>7.8</v>
      </c>
      <c r="AK20" t="s">
        <v>37</v>
      </c>
      <c r="AL20">
        <v>6.4</v>
      </c>
      <c r="AM20">
        <v>6.76</v>
      </c>
      <c r="AN20">
        <f t="shared" si="5"/>
        <v>6.3000000000000007</v>
      </c>
      <c r="AO20">
        <v>6.65</v>
      </c>
      <c r="AP20">
        <v>6.2</v>
      </c>
      <c r="AQ20">
        <v>6.5</v>
      </c>
      <c r="AR20">
        <v>6.05</v>
      </c>
      <c r="AS20">
        <v>6.3</v>
      </c>
      <c r="AU20" t="s">
        <v>37</v>
      </c>
      <c r="AV20">
        <v>8.0500000000000007</v>
      </c>
      <c r="AW20">
        <v>8.8000000000000007</v>
      </c>
      <c r="AX20">
        <v>8.25</v>
      </c>
      <c r="AY20">
        <v>9</v>
      </c>
      <c r="AZ20">
        <v>8.4</v>
      </c>
      <c r="BA20">
        <v>9</v>
      </c>
      <c r="BB20">
        <v>8.5</v>
      </c>
      <c r="BC20">
        <v>9</v>
      </c>
      <c r="BE20" t="s">
        <v>37</v>
      </c>
      <c r="BF20">
        <v>7.9</v>
      </c>
      <c r="BG20">
        <v>8.0500000000000007</v>
      </c>
      <c r="BH20">
        <v>7.75</v>
      </c>
      <c r="BI20">
        <v>7.75</v>
      </c>
      <c r="BJ20">
        <v>7.5</v>
      </c>
      <c r="BK20">
        <v>7.5</v>
      </c>
      <c r="BL20">
        <v>7.3</v>
      </c>
      <c r="BM20">
        <v>7.3</v>
      </c>
    </row>
    <row r="21" spans="7:65" hidden="1" x14ac:dyDescent="0.2">
      <c r="G21" t="s">
        <v>80</v>
      </c>
      <c r="H21">
        <v>5.15</v>
      </c>
      <c r="I21">
        <v>5.6</v>
      </c>
      <c r="J21">
        <v>5.35</v>
      </c>
      <c r="K21">
        <f t="shared" si="1"/>
        <v>5.8</v>
      </c>
      <c r="L21">
        <f t="shared" si="2"/>
        <v>5.55</v>
      </c>
      <c r="M21">
        <f t="shared" si="3"/>
        <v>5.95</v>
      </c>
      <c r="N21">
        <f t="shared" si="3"/>
        <v>5.7</v>
      </c>
      <c r="O21">
        <f t="shared" si="6"/>
        <v>6.05</v>
      </c>
      <c r="Q21" t="s">
        <v>80</v>
      </c>
      <c r="R21">
        <v>4.5999999999999996</v>
      </c>
      <c r="S21">
        <v>4.8499999999999996</v>
      </c>
      <c r="T21">
        <v>4.5</v>
      </c>
      <c r="U21">
        <v>4.75</v>
      </c>
      <c r="V21">
        <v>4.45</v>
      </c>
      <c r="W21">
        <v>4.7</v>
      </c>
      <c r="X21">
        <v>4.3499999999999996</v>
      </c>
      <c r="Y21">
        <v>4.5999999999999996</v>
      </c>
      <c r="AA21" t="s">
        <v>80</v>
      </c>
      <c r="AB21">
        <v>6.35</v>
      </c>
      <c r="AC21">
        <v>7</v>
      </c>
      <c r="AD21">
        <v>6.55</v>
      </c>
      <c r="AE21">
        <f t="shared" si="4"/>
        <v>7.2</v>
      </c>
      <c r="AF21">
        <f>0.15+AD21</f>
        <v>6.7</v>
      </c>
      <c r="AG21">
        <f t="shared" si="4"/>
        <v>7.4</v>
      </c>
      <c r="AH21">
        <f t="shared" si="8"/>
        <v>6.8</v>
      </c>
      <c r="AI21">
        <f>0.2+AG21</f>
        <v>7.6000000000000005</v>
      </c>
      <c r="AK21" t="s">
        <v>80</v>
      </c>
      <c r="AL21">
        <v>6.2</v>
      </c>
      <c r="AM21">
        <v>6.55</v>
      </c>
      <c r="AN21">
        <f t="shared" si="5"/>
        <v>6.1000000000000005</v>
      </c>
      <c r="AO21">
        <v>6.5</v>
      </c>
      <c r="AP21">
        <v>6.05</v>
      </c>
      <c r="AQ21">
        <v>6.35</v>
      </c>
      <c r="AR21">
        <v>5.9</v>
      </c>
      <c r="AS21">
        <v>6.25</v>
      </c>
      <c r="AU21" t="s">
        <v>80</v>
      </c>
      <c r="AV21">
        <v>7.75</v>
      </c>
      <c r="AW21">
        <v>8.5</v>
      </c>
      <c r="AX21">
        <v>7.95</v>
      </c>
      <c r="AY21">
        <v>8.6999999999999993</v>
      </c>
      <c r="AZ21">
        <v>8.1</v>
      </c>
      <c r="BA21">
        <v>8.9</v>
      </c>
      <c r="BB21">
        <f>0.15+AZ21</f>
        <v>8.25</v>
      </c>
      <c r="BC21">
        <v>9</v>
      </c>
      <c r="BE21" t="s">
        <v>80</v>
      </c>
      <c r="BF21">
        <v>7.7</v>
      </c>
      <c r="BG21">
        <v>8.0500000000000007</v>
      </c>
      <c r="BH21">
        <v>7.6</v>
      </c>
      <c r="BI21">
        <v>7.75</v>
      </c>
      <c r="BJ21">
        <v>7.5</v>
      </c>
      <c r="BK21">
        <v>7.5</v>
      </c>
      <c r="BL21">
        <v>7.3</v>
      </c>
      <c r="BM21">
        <v>7.3</v>
      </c>
    </row>
    <row r="22" spans="7:65" hidden="1" x14ac:dyDescent="0.2">
      <c r="G22" t="s">
        <v>38</v>
      </c>
      <c r="H22">
        <v>4.8</v>
      </c>
      <c r="I22">
        <v>5.25</v>
      </c>
      <c r="J22">
        <v>5</v>
      </c>
      <c r="K22">
        <f t="shared" si="1"/>
        <v>5.45</v>
      </c>
      <c r="L22">
        <f t="shared" si="2"/>
        <v>5.2</v>
      </c>
      <c r="M22">
        <f t="shared" si="3"/>
        <v>5.6000000000000005</v>
      </c>
      <c r="N22">
        <f t="shared" si="3"/>
        <v>5.3500000000000005</v>
      </c>
      <c r="O22">
        <f t="shared" si="6"/>
        <v>5.7</v>
      </c>
      <c r="Q22" t="s">
        <v>38</v>
      </c>
      <c r="R22">
        <v>4.3499999999999996</v>
      </c>
      <c r="S22">
        <v>4.55</v>
      </c>
      <c r="T22">
        <v>4.25</v>
      </c>
      <c r="U22">
        <v>4.55</v>
      </c>
      <c r="V22">
        <v>4.25</v>
      </c>
      <c r="W22">
        <v>4.5</v>
      </c>
      <c r="X22">
        <v>4.1500000000000004</v>
      </c>
      <c r="Y22">
        <v>4.4000000000000004</v>
      </c>
      <c r="AA22" t="s">
        <v>38</v>
      </c>
      <c r="AB22">
        <v>6</v>
      </c>
      <c r="AC22">
        <v>6.55</v>
      </c>
      <c r="AD22">
        <f>0.2+AB22</f>
        <v>6.2</v>
      </c>
      <c r="AE22">
        <f t="shared" si="4"/>
        <v>6.75</v>
      </c>
      <c r="AF22">
        <f t="shared" ref="AF22:AF37" si="9">0.15+AD22</f>
        <v>6.3500000000000005</v>
      </c>
      <c r="AG22">
        <f t="shared" si="4"/>
        <v>6.95</v>
      </c>
      <c r="AH22">
        <f t="shared" si="8"/>
        <v>6.45</v>
      </c>
      <c r="AI22">
        <f t="shared" ref="AI22:AI37" si="10">0.2+AG22</f>
        <v>7.15</v>
      </c>
      <c r="AK22" t="s">
        <v>38</v>
      </c>
      <c r="AL22">
        <v>5.9</v>
      </c>
      <c r="AM22">
        <v>6.2</v>
      </c>
      <c r="AN22">
        <f t="shared" si="5"/>
        <v>5.8000000000000007</v>
      </c>
      <c r="AO22">
        <v>6.15</v>
      </c>
      <c r="AP22">
        <v>5.75</v>
      </c>
      <c r="AQ22">
        <v>6.1</v>
      </c>
      <c r="AR22">
        <v>5.7</v>
      </c>
      <c r="AS22">
        <v>6</v>
      </c>
      <c r="AU22" t="s">
        <v>38</v>
      </c>
      <c r="AV22">
        <v>7.25</v>
      </c>
      <c r="AW22">
        <v>8</v>
      </c>
      <c r="AX22">
        <f>0.2+AV22</f>
        <v>7.45</v>
      </c>
      <c r="AY22">
        <f>0.2+AW22</f>
        <v>8.1999999999999993</v>
      </c>
      <c r="AZ22">
        <v>7.6</v>
      </c>
      <c r="BA22">
        <v>8.4</v>
      </c>
      <c r="BB22">
        <f t="shared" ref="BB22:BC37" si="11">0.15+AZ22</f>
        <v>7.75</v>
      </c>
      <c r="BC22">
        <v>8.5500000000000007</v>
      </c>
      <c r="BE22" t="s">
        <v>38</v>
      </c>
      <c r="BF22">
        <v>7.25</v>
      </c>
      <c r="BG22">
        <v>7.7</v>
      </c>
      <c r="BH22">
        <v>7.2</v>
      </c>
      <c r="BI22">
        <v>7.6</v>
      </c>
      <c r="BJ22">
        <v>7.15</v>
      </c>
      <c r="BK22">
        <v>7.5</v>
      </c>
      <c r="BL22">
        <v>7.3</v>
      </c>
      <c r="BM22">
        <v>7.3</v>
      </c>
    </row>
    <row r="23" spans="7:65" hidden="1" x14ac:dyDescent="0.2">
      <c r="G23" t="s">
        <v>39</v>
      </c>
      <c r="H23">
        <v>4.55</v>
      </c>
      <c r="I23">
        <v>4.9000000000000004</v>
      </c>
      <c r="J23">
        <v>4.75</v>
      </c>
      <c r="K23">
        <f t="shared" si="1"/>
        <v>5.1000000000000005</v>
      </c>
      <c r="L23">
        <f t="shared" si="2"/>
        <v>4.95</v>
      </c>
      <c r="M23">
        <f t="shared" si="3"/>
        <v>5.2500000000000009</v>
      </c>
      <c r="N23">
        <f t="shared" si="3"/>
        <v>5.1000000000000005</v>
      </c>
      <c r="O23">
        <f t="shared" si="6"/>
        <v>5.3500000000000005</v>
      </c>
      <c r="Q23" t="s">
        <v>39</v>
      </c>
      <c r="R23">
        <v>4.0999999999999996</v>
      </c>
      <c r="S23">
        <v>4.3499999999999996</v>
      </c>
      <c r="T23">
        <v>4</v>
      </c>
      <c r="U23">
        <v>4.3499999999999996</v>
      </c>
      <c r="V23">
        <v>4.0999999999999996</v>
      </c>
      <c r="W23">
        <v>4.3</v>
      </c>
      <c r="X23">
        <v>4.05</v>
      </c>
      <c r="Y23">
        <v>4.25</v>
      </c>
      <c r="AA23" t="s">
        <v>39</v>
      </c>
      <c r="AB23">
        <v>5.6</v>
      </c>
      <c r="AC23">
        <v>6.2</v>
      </c>
      <c r="AD23">
        <f t="shared" ref="AD23:AE39" si="12">0.2+AB23</f>
        <v>5.8</v>
      </c>
      <c r="AE23">
        <f t="shared" si="12"/>
        <v>6.4</v>
      </c>
      <c r="AF23">
        <f t="shared" si="9"/>
        <v>5.95</v>
      </c>
      <c r="AG23">
        <f t="shared" si="4"/>
        <v>6.6000000000000005</v>
      </c>
      <c r="AH23">
        <f t="shared" si="8"/>
        <v>6.05</v>
      </c>
      <c r="AI23">
        <f t="shared" si="10"/>
        <v>6.8000000000000007</v>
      </c>
      <c r="AK23" t="s">
        <v>39</v>
      </c>
      <c r="AL23">
        <v>5.6</v>
      </c>
      <c r="AM23">
        <v>5.85</v>
      </c>
      <c r="AN23">
        <f t="shared" si="5"/>
        <v>5.5</v>
      </c>
      <c r="AO23">
        <v>5.85</v>
      </c>
      <c r="AP23">
        <v>5.5</v>
      </c>
      <c r="AQ23">
        <v>5.8</v>
      </c>
      <c r="AR23">
        <v>5.45</v>
      </c>
      <c r="AS23">
        <v>5.75</v>
      </c>
      <c r="AU23" t="s">
        <v>39</v>
      </c>
      <c r="AV23">
        <v>6.85</v>
      </c>
      <c r="AW23">
        <v>7.55</v>
      </c>
      <c r="AX23">
        <f t="shared" ref="AX23:AX38" si="13">0.2+AV23</f>
        <v>7.05</v>
      </c>
      <c r="AY23">
        <f t="shared" ref="AY23:BA37" si="14">0.2+AW23</f>
        <v>7.75</v>
      </c>
      <c r="AZ23">
        <v>7.2</v>
      </c>
      <c r="BA23">
        <v>7.95</v>
      </c>
      <c r="BB23">
        <f t="shared" si="11"/>
        <v>7.3500000000000005</v>
      </c>
      <c r="BC23">
        <f t="shared" si="11"/>
        <v>8.1</v>
      </c>
      <c r="BE23" t="s">
        <v>39</v>
      </c>
      <c r="BF23">
        <v>6.85</v>
      </c>
      <c r="BG23">
        <v>7.3</v>
      </c>
      <c r="BH23">
        <v>6.9</v>
      </c>
      <c r="BI23">
        <v>7.25</v>
      </c>
      <c r="BJ23">
        <v>6.85</v>
      </c>
      <c r="BK23">
        <v>7.2</v>
      </c>
      <c r="BL23">
        <v>6.75</v>
      </c>
      <c r="BM23">
        <v>7.15</v>
      </c>
    </row>
    <row r="24" spans="7:65" hidden="1" x14ac:dyDescent="0.2">
      <c r="G24" t="s">
        <v>162</v>
      </c>
      <c r="H24">
        <v>6.05</v>
      </c>
      <c r="I24">
        <v>6.35</v>
      </c>
      <c r="J24">
        <v>6.15</v>
      </c>
      <c r="K24">
        <v>6.5</v>
      </c>
      <c r="L24">
        <v>6.3</v>
      </c>
      <c r="M24">
        <v>6.65</v>
      </c>
      <c r="N24">
        <v>6.4</v>
      </c>
      <c r="O24">
        <v>6.75</v>
      </c>
      <c r="Q24" t="s">
        <v>162</v>
      </c>
      <c r="R24">
        <v>5.2</v>
      </c>
      <c r="S24">
        <v>5.2</v>
      </c>
      <c r="T24">
        <v>5</v>
      </c>
      <c r="U24">
        <v>5</v>
      </c>
      <c r="V24">
        <v>5</v>
      </c>
      <c r="W24">
        <v>4.9000000000000004</v>
      </c>
      <c r="X24">
        <v>4.7</v>
      </c>
      <c r="Y24">
        <v>4.7</v>
      </c>
      <c r="AA24" t="s">
        <v>162</v>
      </c>
      <c r="AB24">
        <v>7.5</v>
      </c>
      <c r="AC24">
        <v>7.9</v>
      </c>
      <c r="AD24">
        <v>7.7</v>
      </c>
      <c r="AE24">
        <v>8.0500000000000007</v>
      </c>
      <c r="AF24">
        <v>7.8</v>
      </c>
      <c r="AG24">
        <v>8.25</v>
      </c>
      <c r="AH24">
        <v>7.95</v>
      </c>
      <c r="AI24">
        <v>8.4</v>
      </c>
      <c r="AK24" t="s">
        <v>162</v>
      </c>
      <c r="AL24">
        <v>6.8</v>
      </c>
      <c r="AM24">
        <v>6.95</v>
      </c>
      <c r="AN24">
        <f t="shared" si="5"/>
        <v>6.7</v>
      </c>
      <c r="AO24">
        <v>6.7</v>
      </c>
      <c r="AP24">
        <v>6.4</v>
      </c>
      <c r="AQ24">
        <v>6.5</v>
      </c>
      <c r="AR24">
        <v>6.3</v>
      </c>
      <c r="AS24">
        <v>6.3</v>
      </c>
      <c r="AU24" t="s">
        <v>162</v>
      </c>
      <c r="AV24">
        <v>9</v>
      </c>
      <c r="AW24">
        <v>9</v>
      </c>
      <c r="AX24">
        <v>9</v>
      </c>
      <c r="AY24">
        <v>9</v>
      </c>
      <c r="AZ24">
        <v>9</v>
      </c>
      <c r="BA24">
        <v>9</v>
      </c>
      <c r="BB24">
        <v>9</v>
      </c>
      <c r="BC24">
        <v>9</v>
      </c>
      <c r="BE24" t="s">
        <v>162</v>
      </c>
      <c r="BF24">
        <v>8.0500000000000007</v>
      </c>
      <c r="BG24">
        <v>8.0500000000000007</v>
      </c>
      <c r="BH24">
        <v>7.75</v>
      </c>
      <c r="BI24">
        <v>7.75</v>
      </c>
      <c r="BJ24">
        <v>7.5</v>
      </c>
      <c r="BK24">
        <v>7.5</v>
      </c>
      <c r="BL24">
        <v>7.3</v>
      </c>
      <c r="BM24">
        <v>7.3</v>
      </c>
    </row>
    <row r="25" spans="7:65" hidden="1" x14ac:dyDescent="0.2">
      <c r="G25" t="s">
        <v>40</v>
      </c>
      <c r="H25">
        <v>5.75</v>
      </c>
      <c r="I25">
        <v>6.05</v>
      </c>
      <c r="J25">
        <v>5.9</v>
      </c>
      <c r="K25">
        <f t="shared" si="1"/>
        <v>6.25</v>
      </c>
      <c r="L25">
        <f t="shared" si="2"/>
        <v>6.1000000000000005</v>
      </c>
      <c r="M25">
        <f t="shared" si="3"/>
        <v>6.4</v>
      </c>
      <c r="N25">
        <f t="shared" si="3"/>
        <v>6.2500000000000009</v>
      </c>
      <c r="O25">
        <f t="shared" si="6"/>
        <v>6.5</v>
      </c>
      <c r="Q25" t="s">
        <v>40</v>
      </c>
      <c r="R25">
        <v>4.9000000000000004</v>
      </c>
      <c r="S25">
        <v>5.15</v>
      </c>
      <c r="T25">
        <v>4.8</v>
      </c>
      <c r="U25">
        <v>5</v>
      </c>
      <c r="V25">
        <v>4.75</v>
      </c>
      <c r="W25">
        <v>4.8499999999999996</v>
      </c>
      <c r="X25">
        <v>4.6500000000000004</v>
      </c>
      <c r="Y25">
        <v>4.7</v>
      </c>
      <c r="AA25" t="s">
        <v>40</v>
      </c>
      <c r="AB25">
        <v>7.15</v>
      </c>
      <c r="AC25">
        <v>7.5</v>
      </c>
      <c r="AD25">
        <f t="shared" si="12"/>
        <v>7.3500000000000005</v>
      </c>
      <c r="AE25">
        <f t="shared" si="4"/>
        <v>7.7</v>
      </c>
      <c r="AF25">
        <f t="shared" si="9"/>
        <v>7.5000000000000009</v>
      </c>
      <c r="AG25">
        <f t="shared" si="4"/>
        <v>7.9</v>
      </c>
      <c r="AH25">
        <f t="shared" si="8"/>
        <v>7.6000000000000005</v>
      </c>
      <c r="AI25">
        <f t="shared" si="10"/>
        <v>8.1</v>
      </c>
      <c r="AK25" t="s">
        <v>40</v>
      </c>
      <c r="AL25">
        <v>6.6</v>
      </c>
      <c r="AM25">
        <v>6.95</v>
      </c>
      <c r="AN25">
        <f t="shared" si="5"/>
        <v>6.5</v>
      </c>
      <c r="AO25">
        <v>6.7</v>
      </c>
      <c r="AP25">
        <v>6.4</v>
      </c>
      <c r="AQ25">
        <v>6.5</v>
      </c>
      <c r="AR25">
        <v>6.3</v>
      </c>
      <c r="AS25">
        <v>6.3</v>
      </c>
      <c r="AU25" t="s">
        <v>40</v>
      </c>
      <c r="AV25">
        <v>8.65</v>
      </c>
      <c r="AW25">
        <v>9</v>
      </c>
      <c r="AX25">
        <f t="shared" si="13"/>
        <v>8.85</v>
      </c>
      <c r="AY25">
        <f t="shared" si="14"/>
        <v>9.1999999999999993</v>
      </c>
      <c r="AZ25">
        <v>9</v>
      </c>
      <c r="BA25">
        <v>9</v>
      </c>
      <c r="BB25">
        <f t="shared" si="11"/>
        <v>9.15</v>
      </c>
      <c r="BC25">
        <v>9</v>
      </c>
      <c r="BE25" t="s">
        <v>40</v>
      </c>
      <c r="BF25">
        <v>8.0500000000000007</v>
      </c>
      <c r="BG25">
        <v>8.0500000000000007</v>
      </c>
      <c r="BH25">
        <v>7.75</v>
      </c>
      <c r="BI25">
        <v>7.75</v>
      </c>
      <c r="BJ25">
        <v>7.5</v>
      </c>
      <c r="BK25">
        <v>7.5</v>
      </c>
      <c r="BL25">
        <v>7.3</v>
      </c>
      <c r="BM25">
        <v>7.3</v>
      </c>
    </row>
    <row r="26" spans="7:65" hidden="1" x14ac:dyDescent="0.2">
      <c r="G26" t="s">
        <v>41</v>
      </c>
      <c r="H26">
        <v>5.5</v>
      </c>
      <c r="I26">
        <v>5.8</v>
      </c>
      <c r="J26">
        <v>5.7</v>
      </c>
      <c r="K26">
        <f t="shared" si="1"/>
        <v>6</v>
      </c>
      <c r="L26">
        <f t="shared" si="2"/>
        <v>5.9</v>
      </c>
      <c r="M26">
        <f t="shared" si="3"/>
        <v>6.15</v>
      </c>
      <c r="N26">
        <f t="shared" si="3"/>
        <v>6.0500000000000007</v>
      </c>
      <c r="O26">
        <f t="shared" si="6"/>
        <v>6.25</v>
      </c>
      <c r="Q26" t="s">
        <v>41</v>
      </c>
      <c r="R26">
        <v>4.75</v>
      </c>
      <c r="S26">
        <v>5</v>
      </c>
      <c r="T26">
        <v>4.7</v>
      </c>
      <c r="U26">
        <v>4.95</v>
      </c>
      <c r="V26">
        <v>4.6500000000000004</v>
      </c>
      <c r="W26">
        <v>4.8499999999999996</v>
      </c>
      <c r="X26">
        <v>4.55</v>
      </c>
      <c r="Y26">
        <v>4.7</v>
      </c>
      <c r="AA26" t="s">
        <v>41</v>
      </c>
      <c r="AB26">
        <v>6.8</v>
      </c>
      <c r="AC26">
        <v>7.2</v>
      </c>
      <c r="AD26">
        <f t="shared" si="12"/>
        <v>7</v>
      </c>
      <c r="AE26">
        <f t="shared" si="4"/>
        <v>7.4</v>
      </c>
      <c r="AF26">
        <f t="shared" si="9"/>
        <v>7.15</v>
      </c>
      <c r="AG26">
        <f t="shared" si="4"/>
        <v>7.6000000000000005</v>
      </c>
      <c r="AH26">
        <f t="shared" si="8"/>
        <v>7.25</v>
      </c>
      <c r="AI26">
        <f t="shared" si="10"/>
        <v>7.8000000000000007</v>
      </c>
      <c r="AK26" t="s">
        <v>41</v>
      </c>
      <c r="AL26">
        <v>6.4</v>
      </c>
      <c r="AM26">
        <v>6.75</v>
      </c>
      <c r="AN26">
        <f t="shared" si="5"/>
        <v>6.3000000000000007</v>
      </c>
      <c r="AO26">
        <v>6.65</v>
      </c>
      <c r="AP26">
        <v>6.25</v>
      </c>
      <c r="AQ26">
        <v>6.5</v>
      </c>
      <c r="AR26">
        <v>6.15</v>
      </c>
      <c r="AS26">
        <v>6.3</v>
      </c>
      <c r="AU26" t="s">
        <v>41</v>
      </c>
      <c r="AV26">
        <v>8.25</v>
      </c>
      <c r="AW26">
        <v>8.8000000000000007</v>
      </c>
      <c r="AX26">
        <f t="shared" si="13"/>
        <v>8.4499999999999993</v>
      </c>
      <c r="AY26">
        <f t="shared" si="14"/>
        <v>9</v>
      </c>
      <c r="AZ26">
        <f>0.15+AX26</f>
        <v>8.6</v>
      </c>
      <c r="BA26">
        <v>9</v>
      </c>
      <c r="BB26">
        <f t="shared" si="11"/>
        <v>8.75</v>
      </c>
      <c r="BC26">
        <v>9</v>
      </c>
      <c r="BE26" t="s">
        <v>41</v>
      </c>
      <c r="BF26">
        <v>7.9</v>
      </c>
      <c r="BG26">
        <v>8.0500000000000007</v>
      </c>
      <c r="BH26">
        <v>7.75</v>
      </c>
      <c r="BI26">
        <v>7.75</v>
      </c>
      <c r="BJ26">
        <v>7.5</v>
      </c>
      <c r="BK26">
        <v>7.5</v>
      </c>
      <c r="BL26">
        <v>7.3</v>
      </c>
      <c r="BM26">
        <v>7.3</v>
      </c>
    </row>
    <row r="27" spans="7:65" hidden="1" x14ac:dyDescent="0.2">
      <c r="G27" t="s">
        <v>42</v>
      </c>
      <c r="H27">
        <v>5.25</v>
      </c>
      <c r="I27">
        <v>5.6</v>
      </c>
      <c r="J27">
        <v>5.45</v>
      </c>
      <c r="K27">
        <f t="shared" si="1"/>
        <v>5.8</v>
      </c>
      <c r="L27">
        <f t="shared" si="2"/>
        <v>5.65</v>
      </c>
      <c r="M27">
        <f t="shared" si="3"/>
        <v>5.95</v>
      </c>
      <c r="N27">
        <f t="shared" si="3"/>
        <v>5.8000000000000007</v>
      </c>
      <c r="O27">
        <f t="shared" si="6"/>
        <v>6.05</v>
      </c>
      <c r="Q27" t="s">
        <v>42</v>
      </c>
      <c r="R27">
        <v>4.5999999999999996</v>
      </c>
      <c r="S27">
        <v>4.8499999999999996</v>
      </c>
      <c r="T27">
        <v>4.5999999999999996</v>
      </c>
      <c r="U27">
        <v>4.8499999999999996</v>
      </c>
      <c r="V27">
        <v>4.55</v>
      </c>
      <c r="W27">
        <v>4.7</v>
      </c>
      <c r="X27">
        <v>4.45</v>
      </c>
      <c r="Y27">
        <v>4.7</v>
      </c>
      <c r="AA27" t="s">
        <v>42</v>
      </c>
      <c r="AB27">
        <v>6.55</v>
      </c>
      <c r="AC27">
        <v>7</v>
      </c>
      <c r="AD27">
        <f t="shared" si="12"/>
        <v>6.75</v>
      </c>
      <c r="AE27">
        <f t="shared" si="4"/>
        <v>7.2</v>
      </c>
      <c r="AF27">
        <f t="shared" si="9"/>
        <v>6.9</v>
      </c>
      <c r="AG27">
        <f t="shared" si="4"/>
        <v>7.4</v>
      </c>
      <c r="AH27">
        <f t="shared" si="8"/>
        <v>7</v>
      </c>
      <c r="AI27">
        <f t="shared" si="10"/>
        <v>7.6000000000000005</v>
      </c>
      <c r="AK27" t="s">
        <v>42</v>
      </c>
      <c r="AL27">
        <v>6.2</v>
      </c>
      <c r="AM27">
        <v>6.55</v>
      </c>
      <c r="AN27">
        <f t="shared" si="5"/>
        <v>6.1000000000000005</v>
      </c>
      <c r="AO27">
        <v>65</v>
      </c>
      <c r="AP27">
        <v>6.1</v>
      </c>
      <c r="AQ27">
        <v>6.4</v>
      </c>
      <c r="AR27">
        <v>6</v>
      </c>
      <c r="AS27">
        <v>6.3</v>
      </c>
      <c r="AU27" t="s">
        <v>42</v>
      </c>
      <c r="AV27">
        <v>7.95</v>
      </c>
      <c r="AW27">
        <v>8.5</v>
      </c>
      <c r="AX27">
        <f t="shared" si="13"/>
        <v>8.15</v>
      </c>
      <c r="AY27">
        <f t="shared" si="14"/>
        <v>8.6999999999999993</v>
      </c>
      <c r="AZ27">
        <f t="shared" ref="AZ27:AZ37" si="15">0.15+AX27</f>
        <v>8.3000000000000007</v>
      </c>
      <c r="BA27">
        <f t="shared" si="14"/>
        <v>8.8999999999999986</v>
      </c>
      <c r="BB27">
        <f t="shared" si="11"/>
        <v>8.4500000000000011</v>
      </c>
      <c r="BC27">
        <v>9</v>
      </c>
      <c r="BE27" t="s">
        <v>42</v>
      </c>
      <c r="BF27">
        <v>7.7</v>
      </c>
      <c r="BG27">
        <v>8.0500000000000007</v>
      </c>
      <c r="BH27">
        <v>7.75</v>
      </c>
      <c r="BI27">
        <v>7.75</v>
      </c>
      <c r="BJ27">
        <v>7.5</v>
      </c>
      <c r="BK27">
        <v>7.5</v>
      </c>
      <c r="BL27">
        <v>7.3</v>
      </c>
      <c r="BM27">
        <v>7.3</v>
      </c>
    </row>
    <row r="28" spans="7:65" hidden="1" x14ac:dyDescent="0.2">
      <c r="G28" t="s">
        <v>43</v>
      </c>
      <c r="H28">
        <v>5.0999999999999996</v>
      </c>
      <c r="I28">
        <v>5.4</v>
      </c>
      <c r="J28">
        <v>5.3</v>
      </c>
      <c r="K28">
        <f t="shared" si="1"/>
        <v>5.6000000000000005</v>
      </c>
      <c r="L28">
        <f t="shared" si="2"/>
        <v>5.5</v>
      </c>
      <c r="M28">
        <f t="shared" si="3"/>
        <v>5.7500000000000009</v>
      </c>
      <c r="N28">
        <f t="shared" si="3"/>
        <v>5.65</v>
      </c>
      <c r="O28">
        <f t="shared" si="6"/>
        <v>5.8500000000000005</v>
      </c>
      <c r="Q28" t="s">
        <v>43</v>
      </c>
      <c r="R28">
        <v>4.5</v>
      </c>
      <c r="S28">
        <v>4.75</v>
      </c>
      <c r="T28">
        <v>4.5</v>
      </c>
      <c r="U28">
        <v>4.75</v>
      </c>
      <c r="V28">
        <v>4.45</v>
      </c>
      <c r="W28">
        <v>4.5999999999999996</v>
      </c>
      <c r="X28">
        <v>4.4000000000000004</v>
      </c>
      <c r="Y28">
        <v>4.5999999999999996</v>
      </c>
      <c r="AA28" t="s">
        <v>43</v>
      </c>
      <c r="AB28">
        <v>6.3</v>
      </c>
      <c r="AC28">
        <v>6.75</v>
      </c>
      <c r="AD28">
        <f t="shared" si="12"/>
        <v>6.5</v>
      </c>
      <c r="AE28">
        <f t="shared" si="4"/>
        <v>6.95</v>
      </c>
      <c r="AF28">
        <f t="shared" si="9"/>
        <v>6.65</v>
      </c>
      <c r="AG28">
        <f t="shared" si="4"/>
        <v>7.15</v>
      </c>
      <c r="AH28">
        <f t="shared" si="8"/>
        <v>6.75</v>
      </c>
      <c r="AI28">
        <f t="shared" si="10"/>
        <v>7.3500000000000005</v>
      </c>
      <c r="AK28" t="s">
        <v>43</v>
      </c>
      <c r="AL28">
        <v>6.05</v>
      </c>
      <c r="AM28">
        <v>6.4</v>
      </c>
      <c r="AN28">
        <f t="shared" si="5"/>
        <v>5.95</v>
      </c>
      <c r="AO28">
        <v>6.35</v>
      </c>
      <c r="AP28">
        <v>6</v>
      </c>
      <c r="AQ28">
        <v>6.3</v>
      </c>
      <c r="AR28">
        <v>5.9</v>
      </c>
      <c r="AS28">
        <v>6.2</v>
      </c>
      <c r="AU28" t="s">
        <v>43</v>
      </c>
      <c r="AV28">
        <v>7.65</v>
      </c>
      <c r="AW28">
        <v>8.1999999999999993</v>
      </c>
      <c r="AX28">
        <f t="shared" si="13"/>
        <v>7.8500000000000005</v>
      </c>
      <c r="AY28">
        <f t="shared" si="14"/>
        <v>8.3999999999999986</v>
      </c>
      <c r="AZ28">
        <f t="shared" si="15"/>
        <v>8</v>
      </c>
      <c r="BA28">
        <f t="shared" si="14"/>
        <v>8.5999999999999979</v>
      </c>
      <c r="BB28">
        <f t="shared" si="11"/>
        <v>8.15</v>
      </c>
      <c r="BC28">
        <f t="shared" si="11"/>
        <v>8.7499999999999982</v>
      </c>
      <c r="BE28" t="s">
        <v>43</v>
      </c>
      <c r="BF28">
        <v>7.5</v>
      </c>
      <c r="BG28">
        <v>7.9</v>
      </c>
      <c r="BH28">
        <v>7.45</v>
      </c>
      <c r="BI28">
        <v>7.75</v>
      </c>
      <c r="BJ28">
        <v>7.4</v>
      </c>
      <c r="BK28">
        <v>7.5</v>
      </c>
      <c r="BL28">
        <v>7.3</v>
      </c>
      <c r="BM28">
        <v>7.3</v>
      </c>
    </row>
    <row r="29" spans="7:65" hidden="1" x14ac:dyDescent="0.2">
      <c r="G29" t="s">
        <v>81</v>
      </c>
      <c r="H29">
        <v>4.9000000000000004</v>
      </c>
      <c r="I29">
        <v>5.25</v>
      </c>
      <c r="J29">
        <v>5.0999999999999996</v>
      </c>
      <c r="K29">
        <f t="shared" si="1"/>
        <v>5.45</v>
      </c>
      <c r="L29">
        <f t="shared" si="2"/>
        <v>5.3</v>
      </c>
      <c r="M29">
        <f t="shared" si="3"/>
        <v>5.6000000000000005</v>
      </c>
      <c r="N29">
        <f t="shared" si="3"/>
        <v>5.45</v>
      </c>
      <c r="O29">
        <f t="shared" si="6"/>
        <v>5.7</v>
      </c>
      <c r="Q29" t="s">
        <v>81</v>
      </c>
      <c r="R29">
        <v>4.4000000000000004</v>
      </c>
      <c r="S29">
        <v>4.6500000000000004</v>
      </c>
      <c r="T29">
        <v>4.4000000000000004</v>
      </c>
      <c r="U29">
        <v>4.6500000000000004</v>
      </c>
      <c r="V29">
        <v>4.3499999999999996</v>
      </c>
      <c r="W29">
        <v>4.5</v>
      </c>
      <c r="X29">
        <v>4.3</v>
      </c>
      <c r="Y29">
        <v>4.5</v>
      </c>
      <c r="AA29" t="s">
        <v>81</v>
      </c>
      <c r="AB29">
        <v>6.1</v>
      </c>
      <c r="AC29">
        <v>6.55</v>
      </c>
      <c r="AD29">
        <f t="shared" si="12"/>
        <v>6.3</v>
      </c>
      <c r="AE29">
        <f t="shared" si="12"/>
        <v>6.75</v>
      </c>
      <c r="AF29">
        <f t="shared" si="9"/>
        <v>6.45</v>
      </c>
      <c r="AG29">
        <f t="shared" si="4"/>
        <v>6.95</v>
      </c>
      <c r="AH29">
        <f t="shared" si="8"/>
        <v>6.55</v>
      </c>
      <c r="AI29">
        <f t="shared" si="10"/>
        <v>7.15</v>
      </c>
      <c r="AK29" t="s">
        <v>81</v>
      </c>
      <c r="AL29">
        <v>5.9</v>
      </c>
      <c r="AM29">
        <v>6.25</v>
      </c>
      <c r="AN29">
        <f t="shared" si="5"/>
        <v>5.8000000000000007</v>
      </c>
      <c r="AO29">
        <v>6.2</v>
      </c>
      <c r="AP29">
        <v>5.85</v>
      </c>
      <c r="AQ29">
        <v>6.15</v>
      </c>
      <c r="AR29">
        <v>5.8</v>
      </c>
      <c r="AS29">
        <v>6.1</v>
      </c>
      <c r="AU29" t="s">
        <v>81</v>
      </c>
      <c r="AV29">
        <v>7.4</v>
      </c>
      <c r="AW29">
        <v>8</v>
      </c>
      <c r="AX29">
        <f t="shared" si="13"/>
        <v>7.6000000000000005</v>
      </c>
      <c r="AY29">
        <f t="shared" si="14"/>
        <v>8.1999999999999993</v>
      </c>
      <c r="AZ29">
        <f t="shared" si="15"/>
        <v>7.7500000000000009</v>
      </c>
      <c r="BA29">
        <f t="shared" si="14"/>
        <v>8.3999999999999986</v>
      </c>
      <c r="BB29">
        <f t="shared" si="11"/>
        <v>7.9000000000000012</v>
      </c>
      <c r="BC29">
        <f t="shared" si="11"/>
        <v>8.5499999999999989</v>
      </c>
      <c r="BE29" t="s">
        <v>81</v>
      </c>
      <c r="BF29">
        <v>7.3</v>
      </c>
      <c r="BG29">
        <v>7.7</v>
      </c>
      <c r="BH29">
        <v>7.25</v>
      </c>
      <c r="BI29">
        <v>7.65</v>
      </c>
      <c r="BJ29">
        <v>7.2</v>
      </c>
      <c r="BK29">
        <v>7.5</v>
      </c>
      <c r="BL29">
        <v>7.3</v>
      </c>
      <c r="BM29">
        <v>7.3</v>
      </c>
    </row>
    <row r="30" spans="7:65" hidden="1" x14ac:dyDescent="0.2">
      <c r="G30" t="s">
        <v>44</v>
      </c>
      <c r="H30">
        <v>4.6500000000000004</v>
      </c>
      <c r="I30">
        <v>5</v>
      </c>
      <c r="J30">
        <v>4.8499999999999996</v>
      </c>
      <c r="K30">
        <f t="shared" si="1"/>
        <v>5.2</v>
      </c>
      <c r="L30">
        <f t="shared" si="2"/>
        <v>5.05</v>
      </c>
      <c r="M30">
        <f t="shared" si="3"/>
        <v>5.3500000000000005</v>
      </c>
      <c r="N30">
        <f t="shared" si="3"/>
        <v>5.2</v>
      </c>
      <c r="O30">
        <f t="shared" si="6"/>
        <v>5.45</v>
      </c>
      <c r="Q30" t="s">
        <v>44</v>
      </c>
      <c r="R30">
        <v>4.2</v>
      </c>
      <c r="S30">
        <v>4.4000000000000004</v>
      </c>
      <c r="T30">
        <v>4.2</v>
      </c>
      <c r="U30">
        <v>4.4000000000000004</v>
      </c>
      <c r="V30">
        <v>4.2</v>
      </c>
      <c r="W30">
        <v>4.4000000000000004</v>
      </c>
      <c r="X30">
        <v>4.1500000000000004</v>
      </c>
      <c r="Y30">
        <v>4.3499999999999996</v>
      </c>
      <c r="AA30" t="s">
        <v>44</v>
      </c>
      <c r="AB30">
        <v>5.75</v>
      </c>
      <c r="AC30">
        <v>6.2</v>
      </c>
      <c r="AD30">
        <f t="shared" si="12"/>
        <v>5.95</v>
      </c>
      <c r="AE30">
        <f t="shared" si="4"/>
        <v>6.4</v>
      </c>
      <c r="AF30">
        <f t="shared" si="9"/>
        <v>6.1000000000000005</v>
      </c>
      <c r="AG30">
        <f t="shared" si="4"/>
        <v>6.6000000000000005</v>
      </c>
      <c r="AH30">
        <f t="shared" si="8"/>
        <v>6.2</v>
      </c>
      <c r="AI30">
        <f t="shared" si="10"/>
        <v>6.8000000000000007</v>
      </c>
      <c r="AK30" t="s">
        <v>44</v>
      </c>
      <c r="AL30">
        <v>5.6</v>
      </c>
      <c r="AM30">
        <v>5.95</v>
      </c>
      <c r="AN30">
        <f t="shared" si="5"/>
        <v>5.5</v>
      </c>
      <c r="AO30">
        <v>5.95</v>
      </c>
      <c r="AP30">
        <v>5.6</v>
      </c>
      <c r="AQ30">
        <v>5.9</v>
      </c>
      <c r="AR30">
        <v>5.6</v>
      </c>
      <c r="AS30">
        <v>5.9</v>
      </c>
      <c r="AU30" t="s">
        <v>44</v>
      </c>
      <c r="AV30">
        <v>7</v>
      </c>
      <c r="AW30">
        <v>7.55</v>
      </c>
      <c r="AX30">
        <f t="shared" si="13"/>
        <v>7.2</v>
      </c>
      <c r="AY30">
        <f t="shared" si="14"/>
        <v>7.75</v>
      </c>
      <c r="AZ30">
        <f t="shared" si="15"/>
        <v>7.3500000000000005</v>
      </c>
      <c r="BA30">
        <f t="shared" si="14"/>
        <v>7.95</v>
      </c>
      <c r="BB30">
        <f t="shared" si="11"/>
        <v>7.5000000000000009</v>
      </c>
      <c r="BC30">
        <f t="shared" si="11"/>
        <v>8.1</v>
      </c>
      <c r="BE30" t="s">
        <v>44</v>
      </c>
      <c r="BF30">
        <v>7</v>
      </c>
      <c r="BG30">
        <v>7.35</v>
      </c>
      <c r="BH30">
        <v>6.95</v>
      </c>
      <c r="BI30">
        <v>7.35</v>
      </c>
      <c r="BJ30">
        <v>6.9</v>
      </c>
      <c r="BK30">
        <v>7.3</v>
      </c>
      <c r="BL30">
        <v>6.9</v>
      </c>
      <c r="BM30">
        <v>7.3</v>
      </c>
    </row>
    <row r="31" spans="7:65" hidden="1" x14ac:dyDescent="0.2">
      <c r="G31" t="s">
        <v>67</v>
      </c>
      <c r="H31">
        <v>4.4000000000000004</v>
      </c>
      <c r="I31">
        <v>4.7</v>
      </c>
      <c r="J31">
        <v>4.5999999999999996</v>
      </c>
      <c r="K31">
        <f t="shared" si="1"/>
        <v>4.9000000000000004</v>
      </c>
      <c r="L31">
        <f t="shared" si="2"/>
        <v>4.8</v>
      </c>
      <c r="M31">
        <f t="shared" si="3"/>
        <v>5.0500000000000007</v>
      </c>
      <c r="N31">
        <f t="shared" si="3"/>
        <v>4.95</v>
      </c>
      <c r="O31">
        <f t="shared" si="6"/>
        <v>5.15</v>
      </c>
      <c r="Q31" t="s">
        <v>67</v>
      </c>
      <c r="R31">
        <v>4</v>
      </c>
      <c r="S31">
        <v>4.25</v>
      </c>
      <c r="T31">
        <v>4</v>
      </c>
      <c r="U31">
        <v>4.25</v>
      </c>
      <c r="V31">
        <v>4</v>
      </c>
      <c r="W31">
        <v>4.25</v>
      </c>
      <c r="X31">
        <v>4</v>
      </c>
      <c r="Y31">
        <v>4.2</v>
      </c>
      <c r="AA31" t="s">
        <v>67</v>
      </c>
      <c r="AB31">
        <v>5.45</v>
      </c>
      <c r="AC31">
        <v>5.95</v>
      </c>
      <c r="AD31">
        <f t="shared" si="12"/>
        <v>5.65</v>
      </c>
      <c r="AE31">
        <f t="shared" si="4"/>
        <v>6.15</v>
      </c>
      <c r="AF31">
        <f t="shared" si="9"/>
        <v>5.8000000000000007</v>
      </c>
      <c r="AG31">
        <v>6.1</v>
      </c>
      <c r="AH31">
        <v>5.95</v>
      </c>
      <c r="AI31">
        <v>6.25</v>
      </c>
      <c r="AK31" t="s">
        <v>67</v>
      </c>
      <c r="AL31">
        <v>5.4</v>
      </c>
      <c r="AM31">
        <v>5.7</v>
      </c>
      <c r="AN31">
        <f t="shared" si="5"/>
        <v>5.3000000000000007</v>
      </c>
      <c r="AO31">
        <v>5.7</v>
      </c>
      <c r="AP31">
        <v>5.4</v>
      </c>
      <c r="AQ31">
        <v>5.7</v>
      </c>
      <c r="AR31">
        <v>5.4</v>
      </c>
      <c r="AS31">
        <v>5.7</v>
      </c>
      <c r="AU31" t="s">
        <v>67</v>
      </c>
      <c r="AV31">
        <v>6.65</v>
      </c>
      <c r="AW31">
        <v>7.2</v>
      </c>
      <c r="AX31">
        <f t="shared" si="13"/>
        <v>6.8500000000000005</v>
      </c>
      <c r="AY31">
        <f t="shared" si="14"/>
        <v>7.4</v>
      </c>
      <c r="AZ31">
        <f t="shared" si="15"/>
        <v>7.0000000000000009</v>
      </c>
      <c r="BA31">
        <f t="shared" si="14"/>
        <v>7.6000000000000005</v>
      </c>
      <c r="BB31">
        <f t="shared" si="11"/>
        <v>7.1500000000000012</v>
      </c>
      <c r="BC31">
        <f t="shared" si="11"/>
        <v>7.7500000000000009</v>
      </c>
      <c r="BE31" t="s">
        <v>67</v>
      </c>
      <c r="BF31">
        <v>6.65</v>
      </c>
      <c r="BG31">
        <v>7.05</v>
      </c>
      <c r="BH31">
        <v>6.7</v>
      </c>
      <c r="BI31">
        <v>7.05</v>
      </c>
      <c r="BJ31">
        <v>6.7</v>
      </c>
      <c r="BK31">
        <v>7.05</v>
      </c>
      <c r="BL31">
        <v>6.65</v>
      </c>
      <c r="BM31">
        <v>7</v>
      </c>
    </row>
    <row r="32" spans="7:65" hidden="1" x14ac:dyDescent="0.2">
      <c r="G32" t="s">
        <v>163</v>
      </c>
      <c r="H32">
        <v>5.35</v>
      </c>
      <c r="I32">
        <v>5.64</v>
      </c>
      <c r="J32">
        <v>5.5</v>
      </c>
      <c r="K32">
        <v>5.8</v>
      </c>
      <c r="L32">
        <f t="shared" si="2"/>
        <v>5.7</v>
      </c>
      <c r="M32">
        <f t="shared" si="3"/>
        <v>5.95</v>
      </c>
      <c r="N32">
        <f t="shared" si="3"/>
        <v>5.8500000000000005</v>
      </c>
      <c r="O32">
        <v>6.1</v>
      </c>
      <c r="Q32" t="s">
        <v>163</v>
      </c>
      <c r="R32">
        <v>5.6</v>
      </c>
      <c r="S32">
        <v>4.8499999999999996</v>
      </c>
      <c r="T32">
        <v>4.5999999999999996</v>
      </c>
      <c r="U32">
        <v>4.8499999999999996</v>
      </c>
      <c r="V32">
        <v>4.55</v>
      </c>
      <c r="W32">
        <v>4.75</v>
      </c>
      <c r="X32">
        <v>4.45</v>
      </c>
      <c r="Y32">
        <v>4.7</v>
      </c>
      <c r="AA32" t="s">
        <v>163</v>
      </c>
      <c r="AB32">
        <v>6.8</v>
      </c>
      <c r="AC32">
        <v>7</v>
      </c>
      <c r="AD32">
        <f t="shared" si="12"/>
        <v>7</v>
      </c>
      <c r="AE32">
        <f t="shared" si="4"/>
        <v>7.2</v>
      </c>
      <c r="AF32">
        <f t="shared" si="9"/>
        <v>7.15</v>
      </c>
      <c r="AG32">
        <v>7.4</v>
      </c>
      <c r="AH32">
        <v>7.35</v>
      </c>
      <c r="AI32">
        <v>7.6</v>
      </c>
      <c r="AK32" t="s">
        <v>163</v>
      </c>
      <c r="AL32">
        <v>6.2</v>
      </c>
      <c r="AM32">
        <v>6.55</v>
      </c>
      <c r="AN32">
        <v>6.15</v>
      </c>
      <c r="AO32">
        <v>6.5</v>
      </c>
      <c r="AP32">
        <v>6.1</v>
      </c>
      <c r="AQ32">
        <v>6.4</v>
      </c>
      <c r="AR32">
        <v>6</v>
      </c>
      <c r="AS32">
        <v>6.25</v>
      </c>
      <c r="AU32" t="s">
        <v>163</v>
      </c>
      <c r="AV32">
        <v>8.3000000000000007</v>
      </c>
      <c r="AW32">
        <v>8.6</v>
      </c>
      <c r="AX32">
        <f t="shared" si="13"/>
        <v>8.5</v>
      </c>
      <c r="AY32">
        <f t="shared" si="14"/>
        <v>8.7999999999999989</v>
      </c>
      <c r="AZ32">
        <f t="shared" si="15"/>
        <v>8.65</v>
      </c>
      <c r="BA32">
        <v>8.9499999999999993</v>
      </c>
      <c r="BB32">
        <v>8.75</v>
      </c>
      <c r="BC32">
        <v>9</v>
      </c>
      <c r="BE32" t="s">
        <v>163</v>
      </c>
      <c r="BF32">
        <v>7.7</v>
      </c>
      <c r="BG32">
        <v>8.0500000000000007</v>
      </c>
      <c r="BH32">
        <v>7.65</v>
      </c>
      <c r="BI32">
        <v>7.75</v>
      </c>
      <c r="BJ32">
        <v>7.4</v>
      </c>
      <c r="BK32">
        <v>7.5</v>
      </c>
      <c r="BL32">
        <v>7.3</v>
      </c>
      <c r="BM32">
        <v>7.3</v>
      </c>
    </row>
    <row r="33" spans="4:65" hidden="1" x14ac:dyDescent="0.2">
      <c r="G33" t="s">
        <v>50</v>
      </c>
      <c r="H33">
        <v>5.15</v>
      </c>
      <c r="I33">
        <v>5.45</v>
      </c>
      <c r="J33">
        <v>5.35</v>
      </c>
      <c r="K33">
        <f t="shared" si="1"/>
        <v>5.65</v>
      </c>
      <c r="L33">
        <f t="shared" si="2"/>
        <v>5.55</v>
      </c>
      <c r="M33">
        <f t="shared" si="3"/>
        <v>5.8000000000000007</v>
      </c>
      <c r="N33">
        <v>5.6</v>
      </c>
      <c r="O33">
        <f t="shared" si="6"/>
        <v>5.9</v>
      </c>
      <c r="Q33" t="s">
        <v>50</v>
      </c>
      <c r="R33">
        <v>4.5</v>
      </c>
      <c r="S33">
        <v>4.75</v>
      </c>
      <c r="T33">
        <v>4.5</v>
      </c>
      <c r="U33">
        <v>4.75</v>
      </c>
      <c r="V33">
        <v>4.45</v>
      </c>
      <c r="W33">
        <v>4.7</v>
      </c>
      <c r="X33">
        <v>4.4000000000000004</v>
      </c>
      <c r="Y33">
        <v>4.5999999999999996</v>
      </c>
      <c r="AA33" t="s">
        <v>50</v>
      </c>
      <c r="AB33">
        <v>6.55</v>
      </c>
      <c r="AC33">
        <v>6.8</v>
      </c>
      <c r="AD33">
        <f t="shared" si="12"/>
        <v>6.75</v>
      </c>
      <c r="AE33">
        <f t="shared" si="4"/>
        <v>7</v>
      </c>
      <c r="AF33">
        <f t="shared" si="9"/>
        <v>6.9</v>
      </c>
      <c r="AG33">
        <f t="shared" si="4"/>
        <v>7.2</v>
      </c>
      <c r="AH33">
        <f t="shared" si="8"/>
        <v>7</v>
      </c>
      <c r="AI33">
        <f t="shared" si="10"/>
        <v>7.4</v>
      </c>
      <c r="AK33" t="s">
        <v>50</v>
      </c>
      <c r="AL33">
        <v>6.05</v>
      </c>
      <c r="AM33">
        <v>6.4</v>
      </c>
      <c r="AN33">
        <v>6.05</v>
      </c>
      <c r="AO33">
        <v>6.4</v>
      </c>
      <c r="AP33">
        <v>6</v>
      </c>
      <c r="AQ33">
        <v>6.3</v>
      </c>
      <c r="AR33">
        <v>5.9</v>
      </c>
      <c r="AS33">
        <v>6.2</v>
      </c>
      <c r="AU33" t="s">
        <v>50</v>
      </c>
      <c r="AV33">
        <v>8</v>
      </c>
      <c r="AW33">
        <v>8.25</v>
      </c>
      <c r="AX33">
        <f t="shared" si="13"/>
        <v>8.1999999999999993</v>
      </c>
      <c r="AY33">
        <f t="shared" si="14"/>
        <v>8.4499999999999993</v>
      </c>
      <c r="AZ33">
        <f t="shared" si="15"/>
        <v>8.35</v>
      </c>
      <c r="BA33">
        <f t="shared" si="14"/>
        <v>8.6499999999999986</v>
      </c>
      <c r="BB33">
        <f t="shared" si="11"/>
        <v>8.5</v>
      </c>
      <c r="BC33">
        <f t="shared" si="11"/>
        <v>8.7999999999999989</v>
      </c>
      <c r="BE33" t="s">
        <v>50</v>
      </c>
      <c r="BF33">
        <v>7.5</v>
      </c>
      <c r="BG33">
        <v>7.9</v>
      </c>
      <c r="BH33">
        <v>7.45</v>
      </c>
      <c r="BI33">
        <v>7.75</v>
      </c>
      <c r="BJ33">
        <v>7.4</v>
      </c>
      <c r="BK33">
        <v>7.5</v>
      </c>
      <c r="BL33">
        <v>7.3</v>
      </c>
      <c r="BM33">
        <v>7.3</v>
      </c>
    </row>
    <row r="34" spans="4:65" hidden="1" x14ac:dyDescent="0.2">
      <c r="G34" t="s">
        <v>76</v>
      </c>
      <c r="H34">
        <v>5</v>
      </c>
      <c r="I34">
        <v>5.25</v>
      </c>
      <c r="J34">
        <v>5.2</v>
      </c>
      <c r="K34">
        <f t="shared" si="1"/>
        <v>5.45</v>
      </c>
      <c r="L34">
        <f t="shared" si="2"/>
        <v>5.4</v>
      </c>
      <c r="M34">
        <f t="shared" si="3"/>
        <v>5.6000000000000005</v>
      </c>
      <c r="N34">
        <v>4.45</v>
      </c>
      <c r="O34">
        <f t="shared" si="6"/>
        <v>5.7</v>
      </c>
      <c r="Q34" t="s">
        <v>76</v>
      </c>
      <c r="R34">
        <v>4.4000000000000004</v>
      </c>
      <c r="S34">
        <v>4.5999999999999996</v>
      </c>
      <c r="T34">
        <v>4.4000000000000004</v>
      </c>
      <c r="U34">
        <v>4.5999999999999996</v>
      </c>
      <c r="V34">
        <v>4.3499999999999996</v>
      </c>
      <c r="W34">
        <v>4.5999999999999996</v>
      </c>
      <c r="X34">
        <v>4.3</v>
      </c>
      <c r="Y34">
        <v>4.55</v>
      </c>
      <c r="AA34" t="s">
        <v>76</v>
      </c>
      <c r="AB34">
        <v>6.3</v>
      </c>
      <c r="AC34">
        <v>6.55</v>
      </c>
      <c r="AD34">
        <f t="shared" si="12"/>
        <v>6.5</v>
      </c>
      <c r="AE34">
        <f t="shared" si="4"/>
        <v>6.75</v>
      </c>
      <c r="AF34">
        <f t="shared" si="9"/>
        <v>6.65</v>
      </c>
      <c r="AG34">
        <f t="shared" si="4"/>
        <v>6.95</v>
      </c>
      <c r="AH34">
        <f t="shared" si="8"/>
        <v>6.75</v>
      </c>
      <c r="AI34">
        <f t="shared" si="10"/>
        <v>7.15</v>
      </c>
      <c r="AK34" t="s">
        <v>76</v>
      </c>
      <c r="AL34">
        <v>5.9</v>
      </c>
      <c r="AM34">
        <v>6.2</v>
      </c>
      <c r="AN34">
        <v>5.9</v>
      </c>
      <c r="AO34">
        <v>6.2</v>
      </c>
      <c r="AP34">
        <v>5.85</v>
      </c>
      <c r="AQ34">
        <v>6.15</v>
      </c>
      <c r="AR34">
        <v>5.8</v>
      </c>
      <c r="AS34">
        <v>6.1</v>
      </c>
      <c r="AU34" t="s">
        <v>76</v>
      </c>
      <c r="AV34">
        <v>7.65</v>
      </c>
      <c r="AW34">
        <v>8</v>
      </c>
      <c r="AX34">
        <f t="shared" si="13"/>
        <v>7.8500000000000005</v>
      </c>
      <c r="AY34">
        <f t="shared" si="14"/>
        <v>8.1999999999999993</v>
      </c>
      <c r="AZ34">
        <f t="shared" si="15"/>
        <v>8</v>
      </c>
      <c r="BA34">
        <f t="shared" si="14"/>
        <v>8.3999999999999986</v>
      </c>
      <c r="BB34">
        <f t="shared" si="11"/>
        <v>8.15</v>
      </c>
      <c r="BC34">
        <f t="shared" si="11"/>
        <v>8.5499999999999989</v>
      </c>
      <c r="BE34" t="s">
        <v>76</v>
      </c>
      <c r="BF34">
        <v>7.3</v>
      </c>
      <c r="BG34">
        <v>7.7</v>
      </c>
      <c r="BH34">
        <v>7.25</v>
      </c>
      <c r="BI34">
        <v>7.65</v>
      </c>
      <c r="BJ34">
        <v>7.2</v>
      </c>
      <c r="BK34">
        <v>7.5</v>
      </c>
      <c r="BL34">
        <v>7.17</v>
      </c>
      <c r="BM34">
        <v>7.3</v>
      </c>
    </row>
    <row r="35" spans="4:65" hidden="1" x14ac:dyDescent="0.2">
      <c r="G35" t="s">
        <v>77</v>
      </c>
      <c r="H35">
        <v>4.8499999999999996</v>
      </c>
      <c r="I35">
        <v>5.0999999999999996</v>
      </c>
      <c r="J35">
        <v>5.05</v>
      </c>
      <c r="K35">
        <f t="shared" si="1"/>
        <v>5.3</v>
      </c>
      <c r="L35">
        <f t="shared" si="2"/>
        <v>5.25</v>
      </c>
      <c r="M35">
        <f t="shared" si="3"/>
        <v>5.45</v>
      </c>
      <c r="N35">
        <v>5.3</v>
      </c>
      <c r="O35">
        <f t="shared" si="6"/>
        <v>5.55</v>
      </c>
      <c r="Q35" t="s">
        <v>77</v>
      </c>
      <c r="R35">
        <v>4.3</v>
      </c>
      <c r="S35">
        <v>4.5</v>
      </c>
      <c r="T35">
        <v>4.3</v>
      </c>
      <c r="U35">
        <v>4.5</v>
      </c>
      <c r="V35">
        <v>4.25</v>
      </c>
      <c r="W35">
        <v>4.5</v>
      </c>
      <c r="X35">
        <v>4.25</v>
      </c>
      <c r="Y35">
        <v>4.45</v>
      </c>
      <c r="AA35" t="s">
        <v>77</v>
      </c>
      <c r="AB35">
        <v>6.1</v>
      </c>
      <c r="AC35">
        <v>6.4</v>
      </c>
      <c r="AD35">
        <v>6.3</v>
      </c>
      <c r="AE35">
        <f t="shared" si="12"/>
        <v>6.6000000000000005</v>
      </c>
      <c r="AF35">
        <f t="shared" si="9"/>
        <v>6.45</v>
      </c>
      <c r="AG35">
        <f t="shared" si="4"/>
        <v>6.8000000000000007</v>
      </c>
      <c r="AH35">
        <f t="shared" si="8"/>
        <v>6.55</v>
      </c>
      <c r="AI35">
        <f t="shared" si="10"/>
        <v>7.0000000000000009</v>
      </c>
      <c r="AK35" t="s">
        <v>77</v>
      </c>
      <c r="AL35">
        <v>5.75</v>
      </c>
      <c r="AM35">
        <v>6.1</v>
      </c>
      <c r="AN35">
        <v>5.75</v>
      </c>
      <c r="AO35">
        <v>6.1</v>
      </c>
      <c r="AP35">
        <v>5.75</v>
      </c>
      <c r="AQ35">
        <v>6</v>
      </c>
      <c r="AR35">
        <v>5.7</v>
      </c>
      <c r="AS35">
        <v>6</v>
      </c>
      <c r="AU35" t="s">
        <v>77</v>
      </c>
      <c r="AV35">
        <v>7.4</v>
      </c>
      <c r="AW35">
        <v>7.8</v>
      </c>
      <c r="AX35">
        <f t="shared" si="13"/>
        <v>7.6000000000000005</v>
      </c>
      <c r="AY35">
        <f t="shared" si="14"/>
        <v>8</v>
      </c>
      <c r="AZ35">
        <f t="shared" si="15"/>
        <v>7.7500000000000009</v>
      </c>
      <c r="BA35">
        <f t="shared" si="14"/>
        <v>8.1999999999999993</v>
      </c>
      <c r="BB35">
        <f t="shared" si="11"/>
        <v>7.9000000000000012</v>
      </c>
      <c r="BC35">
        <f t="shared" si="11"/>
        <v>8.35</v>
      </c>
      <c r="BE35" t="s">
        <v>77</v>
      </c>
      <c r="BF35">
        <v>7.15</v>
      </c>
      <c r="BG35">
        <v>7.54</v>
      </c>
      <c r="BH35">
        <v>7.1</v>
      </c>
      <c r="BI35">
        <v>7.5</v>
      </c>
      <c r="BJ35">
        <v>7.1</v>
      </c>
      <c r="BK35">
        <v>7.45</v>
      </c>
      <c r="BL35">
        <v>7</v>
      </c>
      <c r="BM35">
        <v>7.3</v>
      </c>
    </row>
    <row r="36" spans="4:65" hidden="1" x14ac:dyDescent="0.2">
      <c r="G36" t="s">
        <v>46</v>
      </c>
      <c r="H36">
        <v>4.7</v>
      </c>
      <c r="I36">
        <v>4.95</v>
      </c>
      <c r="J36">
        <v>4.9000000000000004</v>
      </c>
      <c r="K36">
        <f t="shared" si="1"/>
        <v>5.15</v>
      </c>
      <c r="L36">
        <f t="shared" si="2"/>
        <v>5.1000000000000005</v>
      </c>
      <c r="M36">
        <f t="shared" si="3"/>
        <v>5.3000000000000007</v>
      </c>
      <c r="N36">
        <v>5.15</v>
      </c>
      <c r="O36">
        <f t="shared" si="6"/>
        <v>5.4</v>
      </c>
      <c r="Q36" t="s">
        <v>46</v>
      </c>
      <c r="R36">
        <v>4.2</v>
      </c>
      <c r="S36">
        <v>4.45</v>
      </c>
      <c r="T36">
        <v>4.2</v>
      </c>
      <c r="U36">
        <v>4.45</v>
      </c>
      <c r="V36">
        <v>4.2</v>
      </c>
      <c r="W36">
        <v>4.4000000000000004</v>
      </c>
      <c r="X36">
        <v>4.1500000000000004</v>
      </c>
      <c r="Y36">
        <v>4.4000000000000004</v>
      </c>
      <c r="AA36" t="s">
        <v>46</v>
      </c>
      <c r="AB36">
        <v>5.9</v>
      </c>
      <c r="AC36">
        <v>6.2</v>
      </c>
      <c r="AD36">
        <v>6.1</v>
      </c>
      <c r="AE36">
        <f t="shared" si="4"/>
        <v>6.4</v>
      </c>
      <c r="AF36">
        <f t="shared" si="9"/>
        <v>6.25</v>
      </c>
      <c r="AG36">
        <f t="shared" si="4"/>
        <v>6.6000000000000005</v>
      </c>
      <c r="AH36">
        <f t="shared" si="8"/>
        <v>6.35</v>
      </c>
      <c r="AI36">
        <f t="shared" si="10"/>
        <v>6.8000000000000007</v>
      </c>
      <c r="AK36" t="s">
        <v>46</v>
      </c>
      <c r="AL36">
        <v>5.6</v>
      </c>
      <c r="AM36">
        <v>5.95</v>
      </c>
      <c r="AN36">
        <v>5.6</v>
      </c>
      <c r="AO36">
        <v>5.95</v>
      </c>
      <c r="AP36">
        <v>5.6</v>
      </c>
      <c r="AQ36">
        <v>5.95</v>
      </c>
      <c r="AR36">
        <v>5.6</v>
      </c>
      <c r="AS36">
        <v>5.9</v>
      </c>
      <c r="AU36" t="s">
        <v>46</v>
      </c>
      <c r="AV36">
        <v>7.2</v>
      </c>
      <c r="AW36">
        <v>7.6</v>
      </c>
      <c r="AX36">
        <f t="shared" si="13"/>
        <v>7.4</v>
      </c>
      <c r="AY36">
        <f t="shared" si="14"/>
        <v>7.8</v>
      </c>
      <c r="AZ36">
        <f t="shared" si="15"/>
        <v>7.5500000000000007</v>
      </c>
      <c r="BA36">
        <f t="shared" si="14"/>
        <v>8</v>
      </c>
      <c r="BB36">
        <f t="shared" si="11"/>
        <v>7.7000000000000011</v>
      </c>
      <c r="BC36">
        <v>8</v>
      </c>
      <c r="BE36" t="s">
        <v>46</v>
      </c>
      <c r="BF36">
        <v>7</v>
      </c>
      <c r="BG36">
        <v>7.35</v>
      </c>
      <c r="BH36">
        <v>6.95</v>
      </c>
      <c r="BI36">
        <v>7.35</v>
      </c>
      <c r="BJ36">
        <v>6.9</v>
      </c>
      <c r="BK36">
        <v>7.3</v>
      </c>
      <c r="BL36">
        <v>6.9</v>
      </c>
      <c r="BM36">
        <v>7.3</v>
      </c>
    </row>
    <row r="37" spans="4:65" hidden="1" x14ac:dyDescent="0.2">
      <c r="G37" t="s">
        <v>82</v>
      </c>
      <c r="H37">
        <v>4.5999999999999996</v>
      </c>
      <c r="I37">
        <v>4.8</v>
      </c>
      <c r="J37">
        <v>4.8</v>
      </c>
      <c r="K37">
        <f t="shared" si="1"/>
        <v>5</v>
      </c>
      <c r="L37">
        <f t="shared" si="2"/>
        <v>5</v>
      </c>
      <c r="M37">
        <f t="shared" si="3"/>
        <v>5.15</v>
      </c>
      <c r="N37">
        <v>5</v>
      </c>
      <c r="O37">
        <f t="shared" si="6"/>
        <v>5.25</v>
      </c>
      <c r="Q37" t="s">
        <v>82</v>
      </c>
      <c r="R37">
        <v>4.0999999999999996</v>
      </c>
      <c r="S37">
        <v>4.3</v>
      </c>
      <c r="T37">
        <v>4.0999999999999996</v>
      </c>
      <c r="U37">
        <v>4.3</v>
      </c>
      <c r="V37">
        <v>4.0999999999999996</v>
      </c>
      <c r="W37">
        <v>4.3499999999999996</v>
      </c>
      <c r="X37">
        <v>4.0999999999999996</v>
      </c>
      <c r="Y37">
        <v>4.3</v>
      </c>
      <c r="AA37" t="s">
        <v>82</v>
      </c>
      <c r="AB37">
        <v>5.75</v>
      </c>
      <c r="AC37">
        <v>6.1</v>
      </c>
      <c r="AD37">
        <f t="shared" si="12"/>
        <v>5.95</v>
      </c>
      <c r="AE37">
        <f t="shared" si="4"/>
        <v>6.3</v>
      </c>
      <c r="AF37">
        <f t="shared" si="9"/>
        <v>6.1000000000000005</v>
      </c>
      <c r="AG37">
        <f t="shared" si="4"/>
        <v>6.5</v>
      </c>
      <c r="AH37">
        <v>6.3</v>
      </c>
      <c r="AI37">
        <f t="shared" si="10"/>
        <v>6.7</v>
      </c>
      <c r="AK37" t="s">
        <v>82</v>
      </c>
      <c r="AL37">
        <v>5.5</v>
      </c>
      <c r="AM37">
        <v>5.8</v>
      </c>
      <c r="AN37">
        <v>5.5</v>
      </c>
      <c r="AO37">
        <v>5.8</v>
      </c>
      <c r="AP37">
        <v>5.5</v>
      </c>
      <c r="AQ37">
        <v>5.8</v>
      </c>
      <c r="AR37">
        <v>5.5</v>
      </c>
      <c r="AS37">
        <v>5.8</v>
      </c>
      <c r="AU37" t="s">
        <v>82</v>
      </c>
      <c r="AV37">
        <v>7</v>
      </c>
      <c r="AW37">
        <v>7.4</v>
      </c>
      <c r="AX37">
        <f t="shared" si="13"/>
        <v>7.2</v>
      </c>
      <c r="AY37">
        <f t="shared" si="14"/>
        <v>7.6000000000000005</v>
      </c>
      <c r="AZ37">
        <f t="shared" si="15"/>
        <v>7.3500000000000005</v>
      </c>
      <c r="BA37">
        <v>7.6</v>
      </c>
      <c r="BB37">
        <f t="shared" si="11"/>
        <v>7.5000000000000009</v>
      </c>
      <c r="BC37">
        <v>7.6</v>
      </c>
      <c r="BE37" t="s">
        <v>82</v>
      </c>
      <c r="BF37">
        <v>6.8</v>
      </c>
      <c r="BG37">
        <v>7.2</v>
      </c>
      <c r="BH37">
        <v>6.8</v>
      </c>
      <c r="BI37">
        <v>7.2</v>
      </c>
      <c r="BJ37">
        <v>6.8</v>
      </c>
      <c r="BK37">
        <v>7.15</v>
      </c>
      <c r="BL37">
        <v>6.75</v>
      </c>
      <c r="BM37">
        <v>7.15</v>
      </c>
    </row>
    <row r="38" spans="4:65" hidden="1" x14ac:dyDescent="0.2">
      <c r="G38" t="s">
        <v>45</v>
      </c>
      <c r="H38">
        <v>4.3499999999999996</v>
      </c>
      <c r="I38">
        <v>4.55</v>
      </c>
      <c r="J38">
        <v>4.55</v>
      </c>
      <c r="K38">
        <f t="shared" si="1"/>
        <v>4.75</v>
      </c>
      <c r="L38">
        <f t="shared" si="2"/>
        <v>4.75</v>
      </c>
      <c r="M38">
        <f t="shared" si="3"/>
        <v>4.9000000000000004</v>
      </c>
      <c r="N38">
        <v>4.8</v>
      </c>
      <c r="O38">
        <f t="shared" si="6"/>
        <v>5</v>
      </c>
      <c r="Q38" t="s">
        <v>45</v>
      </c>
      <c r="R38">
        <v>3.95</v>
      </c>
      <c r="S38">
        <v>4.1500000000000004</v>
      </c>
      <c r="T38">
        <v>3.95</v>
      </c>
      <c r="U38">
        <v>4.1500000000000004</v>
      </c>
      <c r="V38">
        <v>4</v>
      </c>
      <c r="W38">
        <v>4.2</v>
      </c>
      <c r="X38">
        <v>4</v>
      </c>
      <c r="Y38">
        <v>4.2</v>
      </c>
      <c r="AA38" t="s">
        <v>45</v>
      </c>
      <c r="AB38">
        <v>5.45</v>
      </c>
      <c r="AC38">
        <v>5.6</v>
      </c>
      <c r="AD38">
        <f t="shared" si="12"/>
        <v>5.65</v>
      </c>
      <c r="AE38">
        <v>5.65</v>
      </c>
      <c r="AF38">
        <v>5.7</v>
      </c>
      <c r="AG38">
        <v>5.7</v>
      </c>
      <c r="AH38">
        <v>5.85</v>
      </c>
      <c r="AI38">
        <v>5.85</v>
      </c>
      <c r="AK38" t="s">
        <v>45</v>
      </c>
      <c r="AL38">
        <v>5.3</v>
      </c>
      <c r="AM38">
        <v>5.55</v>
      </c>
      <c r="AN38">
        <v>5.3</v>
      </c>
      <c r="AO38">
        <v>5.55</v>
      </c>
      <c r="AP38">
        <v>5.3</v>
      </c>
      <c r="AQ38">
        <v>5.6</v>
      </c>
      <c r="AR38">
        <v>5.3</v>
      </c>
      <c r="AS38">
        <v>5.6</v>
      </c>
      <c r="AU38" t="s">
        <v>45</v>
      </c>
      <c r="AV38">
        <v>6.65</v>
      </c>
      <c r="AW38">
        <v>7.05</v>
      </c>
      <c r="AX38">
        <f t="shared" si="13"/>
        <v>6.8500000000000005</v>
      </c>
      <c r="AY38">
        <v>6.95</v>
      </c>
      <c r="AZ38">
        <v>6.9</v>
      </c>
      <c r="BA38">
        <v>6.9</v>
      </c>
      <c r="BB38">
        <v>6.9</v>
      </c>
      <c r="BC38">
        <v>6.9</v>
      </c>
      <c r="BE38" t="s">
        <v>45</v>
      </c>
      <c r="BF38">
        <v>6.55</v>
      </c>
      <c r="BG38">
        <v>6.9</v>
      </c>
      <c r="BH38">
        <v>6.55</v>
      </c>
      <c r="BI38">
        <v>6.9</v>
      </c>
      <c r="BJ38">
        <v>6.55</v>
      </c>
      <c r="BK38">
        <v>6.9</v>
      </c>
      <c r="BL38">
        <v>6.55</v>
      </c>
      <c r="BM38">
        <v>6.9</v>
      </c>
    </row>
    <row r="39" spans="4:65" hidden="1" x14ac:dyDescent="0.2">
      <c r="G39" t="s">
        <v>68</v>
      </c>
      <c r="H39">
        <v>4.0999999999999996</v>
      </c>
      <c r="I39">
        <v>4.1500000000000004</v>
      </c>
      <c r="J39">
        <v>4.3</v>
      </c>
      <c r="K39">
        <f t="shared" si="1"/>
        <v>4.3500000000000005</v>
      </c>
      <c r="L39">
        <f t="shared" si="2"/>
        <v>4.5</v>
      </c>
      <c r="M39">
        <f t="shared" si="3"/>
        <v>4.5000000000000009</v>
      </c>
      <c r="N39">
        <v>4.5999999999999996</v>
      </c>
      <c r="O39">
        <f t="shared" si="6"/>
        <v>4.6000000000000005</v>
      </c>
      <c r="Q39" t="s">
        <v>68</v>
      </c>
      <c r="R39">
        <v>3.75</v>
      </c>
      <c r="S39">
        <v>4</v>
      </c>
      <c r="T39">
        <v>3.75</v>
      </c>
      <c r="U39">
        <v>4</v>
      </c>
      <c r="V39">
        <v>3.85</v>
      </c>
      <c r="W39">
        <v>4.05</v>
      </c>
      <c r="X39">
        <v>3.85</v>
      </c>
      <c r="Y39">
        <v>4.0999999999999996</v>
      </c>
      <c r="AA39" t="s">
        <v>68</v>
      </c>
      <c r="AB39">
        <v>5.0999999999999996</v>
      </c>
      <c r="AC39">
        <v>5.0999999999999996</v>
      </c>
      <c r="AD39">
        <f t="shared" si="12"/>
        <v>5.3</v>
      </c>
      <c r="AE39">
        <v>5.0999999999999996</v>
      </c>
      <c r="AF39">
        <v>5.25</v>
      </c>
      <c r="AG39">
        <v>5.25</v>
      </c>
      <c r="AH39">
        <f t="shared" si="8"/>
        <v>5.35</v>
      </c>
      <c r="AI39">
        <v>5.35</v>
      </c>
      <c r="AK39" t="s">
        <v>68</v>
      </c>
      <c r="AL39">
        <v>5.0999999999999996</v>
      </c>
      <c r="AM39">
        <v>5.0999999999999996</v>
      </c>
      <c r="AN39">
        <v>5.0999999999999996</v>
      </c>
      <c r="AO39">
        <v>5.0999999999999996</v>
      </c>
      <c r="AP39">
        <v>5.0999999999999996</v>
      </c>
      <c r="AQ39">
        <v>5.25</v>
      </c>
      <c r="AR39">
        <v>5.15</v>
      </c>
      <c r="AS39">
        <v>5.35</v>
      </c>
      <c r="AU39" t="s">
        <v>68</v>
      </c>
      <c r="AV39">
        <v>6.35</v>
      </c>
      <c r="AW39">
        <v>6.45</v>
      </c>
      <c r="AX39">
        <v>6.35</v>
      </c>
      <c r="AY39">
        <v>6.35</v>
      </c>
      <c r="AZ39">
        <v>6.3</v>
      </c>
      <c r="BA39">
        <v>6.3</v>
      </c>
      <c r="BB39">
        <v>6.35</v>
      </c>
      <c r="BC39">
        <v>6.35</v>
      </c>
      <c r="BE39" t="s">
        <v>68</v>
      </c>
      <c r="BF39">
        <v>6.3</v>
      </c>
      <c r="BG39">
        <v>6.44</v>
      </c>
      <c r="BH39">
        <v>6.35</v>
      </c>
      <c r="BI39">
        <v>6.35</v>
      </c>
      <c r="BJ39">
        <v>6.35</v>
      </c>
      <c r="BK39">
        <v>6.35</v>
      </c>
      <c r="BL39">
        <v>6.35</v>
      </c>
      <c r="BM39">
        <v>6.35</v>
      </c>
    </row>
    <row r="40" spans="4:65" hidden="1" x14ac:dyDescent="0.2">
      <c r="G40" t="s">
        <v>71</v>
      </c>
      <c r="H40" s="236">
        <v>174</v>
      </c>
      <c r="I40" s="236"/>
      <c r="J40" s="236">
        <v>197</v>
      </c>
      <c r="K40" s="236"/>
      <c r="L40" s="236">
        <v>220</v>
      </c>
      <c r="M40" s="236"/>
      <c r="N40" s="236">
        <v>243</v>
      </c>
      <c r="O40" s="236"/>
      <c r="R40" s="236">
        <v>174</v>
      </c>
      <c r="S40" s="236"/>
      <c r="T40" s="236">
        <v>197</v>
      </c>
      <c r="U40" s="236"/>
      <c r="V40" s="236">
        <v>220</v>
      </c>
      <c r="W40" s="236"/>
      <c r="X40" s="236">
        <v>243</v>
      </c>
      <c r="Y40" s="236"/>
      <c r="AB40" s="236">
        <v>192</v>
      </c>
      <c r="AC40" s="236"/>
      <c r="AD40" s="236">
        <v>215</v>
      </c>
      <c r="AE40" s="236"/>
      <c r="AF40" s="236">
        <v>238</v>
      </c>
      <c r="AG40" s="236"/>
      <c r="AH40" s="236">
        <v>261</v>
      </c>
      <c r="AI40" s="236"/>
      <c r="AL40" s="236">
        <v>192</v>
      </c>
      <c r="AM40" s="236"/>
      <c r="AN40" s="236">
        <v>215</v>
      </c>
      <c r="AO40" s="236"/>
      <c r="AP40" s="236">
        <v>238</v>
      </c>
      <c r="AQ40" s="236"/>
      <c r="AR40" s="236">
        <v>261</v>
      </c>
      <c r="AS40" s="236"/>
      <c r="AV40" s="236">
        <v>214</v>
      </c>
      <c r="AW40" s="236"/>
      <c r="AX40" s="236">
        <v>237</v>
      </c>
      <c r="AY40" s="236"/>
      <c r="AZ40" s="236">
        <v>260</v>
      </c>
      <c r="BA40" s="236"/>
      <c r="BB40" s="236">
        <v>283</v>
      </c>
      <c r="BC40" s="236"/>
      <c r="BF40" s="236">
        <v>214</v>
      </c>
      <c r="BG40" s="236"/>
      <c r="BH40" s="236">
        <v>237</v>
      </c>
      <c r="BI40" s="236"/>
      <c r="BJ40" s="236">
        <v>260</v>
      </c>
      <c r="BK40" s="236"/>
      <c r="BL40" s="236">
        <v>283</v>
      </c>
      <c r="BM40" s="236"/>
    </row>
    <row r="41" spans="4:65" hidden="1" x14ac:dyDescent="0.2">
      <c r="G41" t="s">
        <v>72</v>
      </c>
      <c r="H41" s="236">
        <v>50</v>
      </c>
      <c r="I41" s="236"/>
      <c r="J41" s="236">
        <v>60</v>
      </c>
      <c r="K41" s="236"/>
      <c r="L41" s="236">
        <v>70</v>
      </c>
      <c r="M41" s="236"/>
      <c r="N41" s="236">
        <v>80</v>
      </c>
      <c r="O41" s="236"/>
      <c r="R41" s="236">
        <v>50</v>
      </c>
      <c r="S41" s="236"/>
      <c r="T41" s="236">
        <v>60</v>
      </c>
      <c r="U41" s="236"/>
      <c r="V41" s="236">
        <v>70</v>
      </c>
      <c r="W41" s="236"/>
      <c r="X41" s="236">
        <v>80</v>
      </c>
      <c r="Y41" s="236"/>
      <c r="AB41" s="236">
        <v>50</v>
      </c>
      <c r="AC41" s="236"/>
      <c r="AD41" s="236">
        <v>60</v>
      </c>
      <c r="AE41" s="236"/>
      <c r="AF41" s="236">
        <v>70</v>
      </c>
      <c r="AG41" s="236"/>
      <c r="AH41" s="236">
        <v>80</v>
      </c>
      <c r="AI41" s="236"/>
      <c r="AL41" s="236">
        <v>50</v>
      </c>
      <c r="AM41" s="236"/>
      <c r="AN41" s="236">
        <v>60</v>
      </c>
      <c r="AO41" s="236"/>
      <c r="AP41" s="236">
        <v>70</v>
      </c>
      <c r="AQ41" s="236"/>
      <c r="AR41" s="236">
        <v>80</v>
      </c>
      <c r="AS41" s="236"/>
      <c r="AV41" s="236">
        <v>50</v>
      </c>
      <c r="AW41" s="236"/>
      <c r="AX41" s="236">
        <v>60</v>
      </c>
      <c r="AY41" s="236"/>
      <c r="AZ41" s="236">
        <v>70</v>
      </c>
      <c r="BA41" s="236"/>
      <c r="BB41" s="236">
        <v>80</v>
      </c>
      <c r="BC41" s="236"/>
      <c r="BF41" s="236">
        <v>50</v>
      </c>
      <c r="BG41" s="236"/>
      <c r="BH41" s="236">
        <v>60</v>
      </c>
      <c r="BI41" s="236"/>
      <c r="BJ41" s="236">
        <v>70</v>
      </c>
      <c r="BK41" s="236"/>
      <c r="BL41" s="236">
        <v>80</v>
      </c>
      <c r="BM41" s="236"/>
    </row>
    <row r="42" spans="4:65" hidden="1" x14ac:dyDescent="0.2">
      <c r="E42" t="s">
        <v>49</v>
      </c>
      <c r="G42" t="str">
        <f>+DIM!$AK$20&amp;"+"&amp;DIM!$S$14</f>
        <v>251+250</v>
      </c>
      <c r="H42" s="100">
        <f>+VLOOKUP($G$42,$G$16:$O$39,2,FALSE)</f>
        <v>5.0999999999999996</v>
      </c>
      <c r="I42" s="100">
        <f>+VLOOKUP($G$42,$G$16:$O$39,3,FALSE)</f>
        <v>5.4</v>
      </c>
      <c r="J42" s="100">
        <f>+VLOOKUP($G$42,$G$16:$O$39,4,FALSE)</f>
        <v>5.3</v>
      </c>
      <c r="K42" s="100">
        <f>+VLOOKUP($G$42,$G$16:$O$39,5,FALSE)</f>
        <v>5.6000000000000005</v>
      </c>
      <c r="L42" s="100">
        <f>+VLOOKUP($G$42,$G$16:$O$39,6,FALSE)</f>
        <v>5.5</v>
      </c>
      <c r="M42" s="100">
        <f>+VLOOKUP($G$42,$G$16:$O$39,7,FALSE)</f>
        <v>5.7500000000000009</v>
      </c>
      <c r="N42" s="100">
        <f>+VLOOKUP($G$42,$G$16:$O$39,8,FALSE)</f>
        <v>5.65</v>
      </c>
      <c r="O42" s="100">
        <f>+VLOOKUP($G$42,$G$16:$O$39,9,FALSE)</f>
        <v>5.8500000000000005</v>
      </c>
      <c r="Q42" t="str">
        <f>+DIM!$AK$20&amp;"+"&amp;DIM!$S$14</f>
        <v>251+250</v>
      </c>
      <c r="R42" s="100">
        <f>+VLOOKUP($Q$42,$Q$16:$Y$39,2,FALSE)</f>
        <v>4.5</v>
      </c>
      <c r="S42" s="100">
        <f>+VLOOKUP($Q$42,$Q$16:$Y$39,3,FALSE)</f>
        <v>4.75</v>
      </c>
      <c r="T42" s="100">
        <f>+VLOOKUP($Q$42,$Q$16:$Y$39,4,FALSE)</f>
        <v>4.5</v>
      </c>
      <c r="U42" s="100">
        <f>+VLOOKUP($Q$42,$Q$16:$Y$39,5,FALSE)</f>
        <v>4.75</v>
      </c>
      <c r="V42" s="100">
        <f>+VLOOKUP($Q$42,$Q$16:$Y$39,6,FALSE)</f>
        <v>4.45</v>
      </c>
      <c r="W42" s="100">
        <f>+VLOOKUP($Q$42,$Q$16:$Y$39,7,FALSE)</f>
        <v>4.5999999999999996</v>
      </c>
      <c r="X42" s="100">
        <f>+VLOOKUP($Q$42,$Q$16:$Y$39,8,FALSE)</f>
        <v>4.4000000000000004</v>
      </c>
      <c r="Y42" s="100">
        <f>+VLOOKUP($Q$42,$Q$14:$Y$39,9,FALSE)</f>
        <v>4.5999999999999996</v>
      </c>
      <c r="AA42" t="str">
        <f>+DIM!$AK$20&amp;"+"&amp;DIM!$S$14</f>
        <v>251+250</v>
      </c>
      <c r="AB42" s="100">
        <f>+VLOOKUP($AA$42,$AA$16:$AI$41,2,FALSE)</f>
        <v>6.3</v>
      </c>
      <c r="AC42" s="100">
        <f>+VLOOKUP($AA$42,$AA$16:$AI$41,3,FALSE)</f>
        <v>6.75</v>
      </c>
      <c r="AD42" s="100">
        <f>+VLOOKUP($AA$42,$AA$16:$AI$41,4,FALSE)</f>
        <v>6.5</v>
      </c>
      <c r="AE42" s="100">
        <f>+VLOOKUP($AA$42,$AA$16:$AI$41,5,FALSE)</f>
        <v>6.95</v>
      </c>
      <c r="AF42" s="100">
        <f>+VLOOKUP($AA$42,$AA$16:$AI$41,6,FALSE)</f>
        <v>6.65</v>
      </c>
      <c r="AG42" s="100">
        <f>+VLOOKUP($AA$42,$AA$16:$AI$41,7,FALSE)</f>
        <v>7.15</v>
      </c>
      <c r="AH42" s="100">
        <f>+VLOOKUP($AA$42,$AA$16:$AI$41,8,FALSE)</f>
        <v>6.75</v>
      </c>
      <c r="AI42" s="100">
        <f>+VLOOKUP($AA$42,$AA$16:$AI$41,9,FALSE)</f>
        <v>7.3500000000000005</v>
      </c>
      <c r="AK42" t="str">
        <f>+DIM!$AK$20&amp;"+"&amp;DIM!$S$14</f>
        <v>251+250</v>
      </c>
      <c r="AL42" s="100">
        <f>+VLOOKUP($AK$42,$AK$16:$AS$41,2,FALSE)</f>
        <v>6.05</v>
      </c>
      <c r="AM42" s="100">
        <f>+VLOOKUP($AK$42,$AK$16:$AS$41,3,FALSE)</f>
        <v>6.4</v>
      </c>
      <c r="AN42" s="100">
        <f>+VLOOKUP($AK$42,$AK$16:$AS$41,4,FALSE)</f>
        <v>5.95</v>
      </c>
      <c r="AO42" s="100">
        <f>+VLOOKUP($AK$42,$AK$16:$AS$41,5,FALSE)</f>
        <v>6.35</v>
      </c>
      <c r="AP42" s="100">
        <f>+VLOOKUP($AK$42,$AK$16:$AS$41,6,FALSE)</f>
        <v>6</v>
      </c>
      <c r="AQ42" s="100">
        <f>+VLOOKUP($AK$42,$AK$16:$AS$41,7,FALSE)</f>
        <v>6.3</v>
      </c>
      <c r="AR42" s="100">
        <f>+VLOOKUP($AK$42,$AK$16:$AS$41,8,FALSE)</f>
        <v>5.9</v>
      </c>
      <c r="AS42" s="100">
        <f>+VLOOKUP($AK$42,$AK$16:$AS$41,9,FALSE)</f>
        <v>6.2</v>
      </c>
      <c r="AU42" t="str">
        <f>+DIM!$AK$20&amp;"+"&amp;DIM!$S$14</f>
        <v>251+250</v>
      </c>
      <c r="AV42" s="100">
        <f>+VLOOKUP($AU$42,$AU$16:$BC$41,2,FALSE)</f>
        <v>7.65</v>
      </c>
      <c r="AW42" s="100">
        <f>+VLOOKUP($AU$42,$AU$16:$BC$41,3,FALSE)</f>
        <v>8.1999999999999993</v>
      </c>
      <c r="AX42" s="100">
        <f>+VLOOKUP($AU$42,$AU$16:$BC$41,4,FALSE)</f>
        <v>7.8500000000000005</v>
      </c>
      <c r="AY42" s="100">
        <f>+VLOOKUP($AU$42,$AU$16:$BC$41,5,FALSE)</f>
        <v>8.3999999999999986</v>
      </c>
      <c r="AZ42" s="100">
        <f>+VLOOKUP($AU$42,$AU$16:$BC$41,6,FALSE)</f>
        <v>8</v>
      </c>
      <c r="BA42" s="100">
        <f>+VLOOKUP($AU$42,$AU$16:$BC$41,7,FALSE)</f>
        <v>8.5999999999999979</v>
      </c>
      <c r="BB42" s="100">
        <f>+VLOOKUP($AU$42,$AU$16:$BC$41,8,FALSE)</f>
        <v>8.15</v>
      </c>
      <c r="BC42" s="100">
        <f>+VLOOKUP($AU$42,$AU$16:$BC$41,9,FALSE)</f>
        <v>8.7499999999999982</v>
      </c>
      <c r="BE42" t="str">
        <f>+DIM!$AK$20&amp;"+"&amp;DIM!$S$14</f>
        <v>251+250</v>
      </c>
      <c r="BF42" s="100">
        <f>+VLOOKUP($BE$42,$BE$16:$BM$41,2,FALSE)</f>
        <v>7.5</v>
      </c>
      <c r="BG42" s="100">
        <f>+VLOOKUP($BE$42,$BE$16:$BM$41,3,FALSE)</f>
        <v>7.9</v>
      </c>
      <c r="BH42" s="100">
        <f>+VLOOKUP($BE$42,$BE$16:$BM$41,4,FALSE)</f>
        <v>7.45</v>
      </c>
      <c r="BI42" s="100">
        <f>+VLOOKUP($BE$42,$BE$16:$BM$41,5,FALSE)</f>
        <v>7.75</v>
      </c>
      <c r="BJ42" s="100">
        <f>+VLOOKUP($BE$42,$BE$16:$BM$41,6,FALSE)</f>
        <v>7.4</v>
      </c>
      <c r="BK42" s="100">
        <f>+VLOOKUP($BE$42,$BE$16:$BM$41,7,FALSE)</f>
        <v>7.5</v>
      </c>
      <c r="BL42" s="100">
        <f>+VLOOKUP($BE$42,$BE$16:$BM$41,8,FALSE)</f>
        <v>7.3</v>
      </c>
      <c r="BM42" s="100">
        <f>+VLOOKUP($BE$42,$BE$16:$BM$41,9,FALSE)</f>
        <v>7.3</v>
      </c>
    </row>
    <row r="43" spans="4:65" hidden="1" x14ac:dyDescent="0.2">
      <c r="F43" t="s">
        <v>47</v>
      </c>
      <c r="G43" t="str">
        <f>+DIM!AD15</f>
        <v>1C</v>
      </c>
      <c r="H43" s="235">
        <f>+IF(DIM!$AD$15=$H$15,H42,I42)</f>
        <v>5.4</v>
      </c>
      <c r="I43" s="235"/>
      <c r="J43" s="235">
        <f>+IF(DIM!$AD$15=$H$15,J42,K42)</f>
        <v>5.6000000000000005</v>
      </c>
      <c r="K43" s="235"/>
      <c r="L43" s="235">
        <f>+IF(DIM!$AD$15=$H$15,L42,M42)</f>
        <v>5.7500000000000009</v>
      </c>
      <c r="M43" s="235"/>
      <c r="N43" s="235">
        <f>+IF(DIM!$AD$15=$H$15,N42,O42)</f>
        <v>5.8500000000000005</v>
      </c>
      <c r="O43" s="235"/>
      <c r="Q43" t="str">
        <f>+DIM!AD15</f>
        <v>1C</v>
      </c>
      <c r="R43" s="235">
        <f>+IF(DIM!$AD$15=$H$15,R42,S42)</f>
        <v>4.75</v>
      </c>
      <c r="S43" s="235"/>
      <c r="T43" s="235">
        <f>+IF(DIM!$AD$15=$H$15,T42,U42)</f>
        <v>4.75</v>
      </c>
      <c r="U43" s="235"/>
      <c r="V43" s="235">
        <f>+IF(DIM!$AD$15=$H$15,V42,W42)</f>
        <v>4.5999999999999996</v>
      </c>
      <c r="W43" s="235"/>
      <c r="X43" s="235">
        <f>+IF(DIM!$AD$15=$H$15,X42,Y42)</f>
        <v>4.5999999999999996</v>
      </c>
      <c r="Y43" s="235"/>
      <c r="AA43" t="str">
        <f>+DIM!AD15</f>
        <v>1C</v>
      </c>
      <c r="AB43" s="235">
        <f>+IF(DIM!$AD$15=$H$15,AB42,AC42)</f>
        <v>6.75</v>
      </c>
      <c r="AC43" s="235"/>
      <c r="AD43" s="235">
        <f>+IF(DIM!$AD$15=$H$15,AD42,AE42)</f>
        <v>6.95</v>
      </c>
      <c r="AE43" s="235"/>
      <c r="AF43" s="235">
        <f>+IF(DIM!$AD$15=$H$15,AF42,AG42)</f>
        <v>7.15</v>
      </c>
      <c r="AG43" s="235"/>
      <c r="AH43" s="235">
        <f>+IF(DIM!$AD$15=$H$15,AH42,AI42)</f>
        <v>7.3500000000000005</v>
      </c>
      <c r="AI43" s="235"/>
      <c r="AK43" t="str">
        <f>+DIM!AD15</f>
        <v>1C</v>
      </c>
      <c r="AL43" s="235">
        <f>+IF(DIM!$AD$15=$H$15,AL42,AM42)</f>
        <v>6.4</v>
      </c>
      <c r="AM43" s="235"/>
      <c r="AN43" s="235">
        <f>+IF(DIM!$AD$15=$H$15,AN42,AO42)</f>
        <v>6.35</v>
      </c>
      <c r="AO43" s="235"/>
      <c r="AP43" s="235">
        <f>+IF(DIM!$AD$15=$H$15,AP42,AQ42)</f>
        <v>6.3</v>
      </c>
      <c r="AQ43" s="235"/>
      <c r="AR43" s="235">
        <f>+IF(DIM!$AD$15=$H$15,AR42,AS42)</f>
        <v>6.2</v>
      </c>
      <c r="AS43" s="235"/>
      <c r="AU43" t="str">
        <f>+AK43</f>
        <v>1C</v>
      </c>
      <c r="AV43" s="235">
        <f>+IF(DIM!$AD$15=$H$15,AV42,AW42)</f>
        <v>8.1999999999999993</v>
      </c>
      <c r="AW43" s="235"/>
      <c r="AX43" s="235">
        <f>+IF(DIM!$AD$15=$H$15,AX42,AY42)</f>
        <v>8.3999999999999986</v>
      </c>
      <c r="AY43" s="235"/>
      <c r="AZ43" s="235">
        <f>+IF(DIM!$AD$15=$H$15,AZ42,BA42)</f>
        <v>8.5999999999999979</v>
      </c>
      <c r="BA43" s="235"/>
      <c r="BB43" s="235">
        <f>+IF(DIM!$AD$15=$H$15,BB42,BC42)</f>
        <v>8.7499999999999982</v>
      </c>
      <c r="BC43" s="235"/>
      <c r="BE43" t="str">
        <f>+AU43</f>
        <v>1C</v>
      </c>
      <c r="BF43" s="235">
        <f>+IF(DIM!$AD$15=$H$15,BF42,BG42)</f>
        <v>7.9</v>
      </c>
      <c r="BG43" s="235"/>
      <c r="BH43" s="235">
        <f>+IF(DIM!$AD$15=$H$15,BH42,BI42)</f>
        <v>7.75</v>
      </c>
      <c r="BI43" s="235"/>
      <c r="BJ43" s="235">
        <f>+IF(DIM!$AD$15=$H$15,BJ42,BK42)</f>
        <v>7.5</v>
      </c>
      <c r="BK43" s="235"/>
      <c r="BL43" s="235">
        <f>+IF(DIM!$AD$15=$H$15,BL42,BM42)</f>
        <v>7.3</v>
      </c>
      <c r="BM43" s="235"/>
    </row>
    <row r="44" spans="4:65" hidden="1" x14ac:dyDescent="0.2">
      <c r="F44" t="s">
        <v>48</v>
      </c>
      <c r="G44" s="101">
        <f>+DIM!S32</f>
        <v>5</v>
      </c>
      <c r="K44" s="102">
        <f>+HLOOKUP(G44,H14:O43,30,FALSE)</f>
        <v>5.4</v>
      </c>
      <c r="Q44" s="101">
        <f>+DIM!S32</f>
        <v>5</v>
      </c>
      <c r="U44" s="102">
        <f>+HLOOKUP(Q44,R14:Y43,30,FALSE)</f>
        <v>4.75</v>
      </c>
      <c r="AA44" s="101">
        <f>+DIM!S32</f>
        <v>5</v>
      </c>
      <c r="AE44" s="102">
        <f>+HLOOKUP(AA44,AB14:AI43,30,FALSE)</f>
        <v>6.75</v>
      </c>
      <c r="AK44" s="101">
        <f>+AA44</f>
        <v>5</v>
      </c>
      <c r="AO44" s="102">
        <f>+HLOOKUP(AK44,AL14:AS43,30,FALSE)</f>
        <v>6.4</v>
      </c>
      <c r="AU44" s="100">
        <f>+AK44</f>
        <v>5</v>
      </c>
      <c r="AY44" s="102">
        <f>+HLOOKUP(AU44,AV14:BC43,30,FALSE)</f>
        <v>8.1999999999999993</v>
      </c>
      <c r="BE44" s="101">
        <f>+AU44</f>
        <v>5</v>
      </c>
      <c r="BI44" s="102">
        <f>+HLOOKUP(BE44,BF14:BM43,30,FALSE)</f>
        <v>7.9</v>
      </c>
    </row>
    <row r="45" spans="4:65" hidden="1" x14ac:dyDescent="0.2">
      <c r="E45">
        <f>IF(+DIM!Q32="C17","c17",IF(+DIM!Q32="C21","c21",IF(+DIM!Q32="C25","c25",0)))</f>
        <v>0</v>
      </c>
      <c r="F45" t="s">
        <v>65</v>
      </c>
      <c r="G45" t="str">
        <f>+IF(E45=F47,+"plancher SEACISOL C17 + "&amp;G44,IF(E45=F48,+"plancher SEACISOL C21 + "&amp;G44,IF(E45=F49,+"plancher SEACISOL C25 + "&amp;G44,"choisir un seacisol")))</f>
        <v>choisir un seacisol</v>
      </c>
      <c r="K45" s="103" t="str">
        <f>+K10&amp;"+"&amp;G44</f>
        <v>C17+5</v>
      </c>
      <c r="U45" s="103" t="str">
        <f>+U10&amp;"+"&amp;Q44</f>
        <v>C17+5</v>
      </c>
      <c r="AE45" s="103" t="str">
        <f>+AE10&amp;"+"&amp;AA44</f>
        <v>C21+5</v>
      </c>
      <c r="AO45" s="103" t="str">
        <f>+AO10&amp;"+"&amp;AK44</f>
        <v>C21+5</v>
      </c>
      <c r="AY45" s="103" t="str">
        <f>+AY10&amp;"+"&amp;AU44</f>
        <v>C25+5</v>
      </c>
      <c r="BI45" s="103" t="str">
        <f>+BI10&amp;"+"&amp;BE44</f>
        <v>C25+5</v>
      </c>
    </row>
    <row r="46" spans="4:65" hidden="1" x14ac:dyDescent="0.2">
      <c r="F46" t="s">
        <v>66</v>
      </c>
      <c r="G46" t="str">
        <f>+DIM!S19</f>
        <v>avec etai</v>
      </c>
      <c r="K46" s="98">
        <f>+HLOOKUP(G44,H14:O40,27,FALSE)</f>
        <v>174</v>
      </c>
      <c r="U46" s="98">
        <f>+HLOOKUP(Q44,R14:Y40,27,FALSE)</f>
        <v>174</v>
      </c>
      <c r="AE46" s="98">
        <f>+HLOOKUP(AA44,AB14:AI40,27,FALSE)</f>
        <v>192</v>
      </c>
      <c r="AO46" s="98">
        <f>+HLOOKUP(AK44,AL14:AS40,27,FALSE)</f>
        <v>192</v>
      </c>
      <c r="AY46" s="98">
        <f>+HLOOKUP(AU44,AV14:BC40,27,FALSE)</f>
        <v>214</v>
      </c>
      <c r="BI46" s="98">
        <f>+HLOOKUP(BE44,BF14:BM40,27,FALSE)</f>
        <v>214</v>
      </c>
    </row>
    <row r="47" spans="4:65" hidden="1" x14ac:dyDescent="0.2">
      <c r="D47" s="98" t="s">
        <v>301</v>
      </c>
      <c r="F47" t="s">
        <v>56</v>
      </c>
      <c r="G47">
        <f>+IF($G$46="avec etai",K44,U44)</f>
        <v>5.4</v>
      </c>
      <c r="H47">
        <f>+IF($G$46="avec etai",K46,U46)</f>
        <v>174</v>
      </c>
      <c r="I47">
        <f>+IF($G$46="avec etai",K47,U47)</f>
        <v>50</v>
      </c>
      <c r="J47">
        <f>+IF($G$46="avec etai",K48,U48)</f>
        <v>27.44</v>
      </c>
      <c r="K47" s="98">
        <f>+HLOOKUP(G44,H14:O41,28,FALSE)</f>
        <v>50</v>
      </c>
      <c r="U47" s="98">
        <f>+HLOOKUP(Q44,R14:Y41,28,FALSE)</f>
        <v>50</v>
      </c>
      <c r="AE47" s="98">
        <f>+HLOOKUP(AA44,AB14:AI41,28,FALSE)</f>
        <v>50</v>
      </c>
      <c r="AO47" s="98">
        <f>+HLOOKUP(AK44,AL14:AS41,28,FALSE)</f>
        <v>50</v>
      </c>
      <c r="AY47" s="98">
        <f>+HLOOKUP(AU44,AV14:BC41,28,FALSE)</f>
        <v>50</v>
      </c>
      <c r="BI47" s="98">
        <f>+HLOOKUP(BE44,BF14:BM41,28,FALSE)</f>
        <v>50</v>
      </c>
    </row>
    <row r="48" spans="4:65" hidden="1" x14ac:dyDescent="0.2">
      <c r="D48" s="98" t="s">
        <v>88</v>
      </c>
      <c r="F48" t="s">
        <v>57</v>
      </c>
      <c r="G48">
        <f>+IF($G$46="avec etai",AE44,AO44)</f>
        <v>6.75</v>
      </c>
      <c r="H48">
        <f>+IF($G$46="avec etai",AE46,AO46)</f>
        <v>192</v>
      </c>
      <c r="I48">
        <f>+IF($G$46="avec etai",AE47,AO47)</f>
        <v>50</v>
      </c>
      <c r="J48">
        <f>+IF($G$46="avec etai",AE48,AO48)</f>
        <v>27.44</v>
      </c>
      <c r="K48" s="98">
        <f>+HLOOKUP(K45,H62:O64,3,FALSE)</f>
        <v>27.44</v>
      </c>
      <c r="U48" s="98">
        <f>+HLOOKUP(U45,R62:Y64,3,FALSE)</f>
        <v>27.44</v>
      </c>
      <c r="AE48" s="98">
        <f>+HLOOKUP(AE45,AB62:AI64,3,FALSE)</f>
        <v>27.44</v>
      </c>
      <c r="AO48" s="98">
        <f>+HLOOKUP(AO45,AL62:AS64,3,FALSE)</f>
        <v>27.44</v>
      </c>
      <c r="AY48" s="98">
        <f>+HLOOKUP(AY45,AV62:BC64,3,FALSE)</f>
        <v>27.44</v>
      </c>
      <c r="BI48" s="98">
        <f>+HLOOKUP(BI45,BF62:BM64,3,FALSE)</f>
        <v>27.44</v>
      </c>
    </row>
    <row r="49" spans="5:65" ht="19.5" hidden="1" x14ac:dyDescent="0.35">
      <c r="F49" t="s">
        <v>58</v>
      </c>
      <c r="G49">
        <f>+IF($G$46="avec etai",AY44,BI44)</f>
        <v>8.1999999999999993</v>
      </c>
      <c r="H49">
        <f>+IF($G$46="avec etai",AY46,BI46)</f>
        <v>214</v>
      </c>
      <c r="I49">
        <f>+IF($G$46="avec etaii",AY47,BI47)</f>
        <v>50</v>
      </c>
      <c r="J49">
        <f>+IF($G$46="avec etaii",AY48,BI48)</f>
        <v>27.44</v>
      </c>
      <c r="K49" s="97" t="s">
        <v>56</v>
      </c>
      <c r="U49" s="97" t="s">
        <v>56</v>
      </c>
      <c r="AE49" s="97" t="s">
        <v>57</v>
      </c>
      <c r="AO49" s="97" t="s">
        <v>57</v>
      </c>
      <c r="AY49" s="97" t="s">
        <v>58</v>
      </c>
      <c r="BI49" s="97" t="s">
        <v>58</v>
      </c>
    </row>
    <row r="50" spans="5:65" hidden="1" x14ac:dyDescent="0.2">
      <c r="E50" t="s">
        <v>70</v>
      </c>
      <c r="F50" t="s">
        <v>74</v>
      </c>
      <c r="G50" t="str">
        <f>IF(E45=0,"non disponible",+VLOOKUP(DIM!Q32,F47:I49,2,FALSE))</f>
        <v>non disponible</v>
      </c>
      <c r="K50" s="98" t="s">
        <v>78</v>
      </c>
      <c r="U50" s="98" t="s">
        <v>83</v>
      </c>
      <c r="AE50" s="98" t="s">
        <v>84</v>
      </c>
      <c r="AO50" s="98" t="s">
        <v>79</v>
      </c>
      <c r="AY50" s="98" t="s">
        <v>84</v>
      </c>
      <c r="BI50" s="98" t="s">
        <v>79</v>
      </c>
    </row>
    <row r="51" spans="5:65" hidden="1" x14ac:dyDescent="0.2">
      <c r="F51" t="s">
        <v>75</v>
      </c>
      <c r="G51">
        <f>IF(DIM!Q32="C17",+VLOOKUP(DIM!Q32,F47:I49,3,FALSE),IF(DIM!Q32="C21",+VLOOKUP(DIM!Q32,F47:I49,3,FALSE),IF(DIM!Q32="C25",+VLOOKUP(DIM!Q32,F47:I49,3,FALSE),0)))</f>
        <v>0</v>
      </c>
    </row>
    <row r="52" spans="5:65" hidden="1" x14ac:dyDescent="0.2">
      <c r="F52" t="s">
        <v>72</v>
      </c>
      <c r="G52">
        <f>IF(DIM!Q32="C17",+VLOOKUP(DIM!Q32,F47:I49,4,FALSE),IF(DIM!Q32="C21",+VLOOKUP(DIM!Q32,F47:I49,4,FALSE),IF(DIM!Q32="C25",+VLOOKUP(DIM!Q32,F47:I49,4,FALSE),0)))</f>
        <v>0</v>
      </c>
    </row>
    <row r="53" spans="5:65" hidden="1" x14ac:dyDescent="0.2">
      <c r="F53" t="s">
        <v>274</v>
      </c>
      <c r="G53">
        <f>IF(DIM!Q32="C17",+VLOOKUP(DIM!Q32,F47:J49,5,FALSE),IF(DIM!Q32="C21",+VLOOKUP(DIM!Q32,F47:J49,5,FALSE),IF(DIM!Q32="C25",+VLOOKUP(DIM!Q32,F47:J49,5,FALSE),0)))</f>
        <v>0</v>
      </c>
    </row>
    <row r="54" spans="5:65" hidden="1" x14ac:dyDescent="0.2"/>
    <row r="55" spans="5:65" hidden="1" x14ac:dyDescent="0.2"/>
    <row r="56" spans="5:65" hidden="1" x14ac:dyDescent="0.2">
      <c r="F56" s="100"/>
      <c r="H56" s="49"/>
      <c r="J56" s="98"/>
      <c r="T56" s="98"/>
      <c r="X56" s="49"/>
      <c r="Y56" s="49"/>
      <c r="AB56" s="49"/>
      <c r="AC56" s="49"/>
      <c r="AD56" s="49"/>
      <c r="AE56" s="49"/>
      <c r="AF56" s="49"/>
      <c r="AG56" s="49"/>
      <c r="AH56" s="49"/>
      <c r="AI56" s="49"/>
      <c r="AL56" s="49"/>
      <c r="AM56" s="49"/>
      <c r="AN56" s="49"/>
      <c r="AO56" s="49"/>
      <c r="AP56" s="49"/>
      <c r="AQ56" s="49"/>
      <c r="AR56" s="49"/>
      <c r="AS56" s="49"/>
      <c r="AV56" s="49"/>
      <c r="AW56" s="49"/>
      <c r="AX56" s="49"/>
      <c r="AY56" s="49"/>
      <c r="AZ56" s="49"/>
      <c r="BA56" s="49"/>
      <c r="BB56" s="49"/>
      <c r="BC56" s="49"/>
      <c r="BF56" s="49"/>
      <c r="BG56" s="49"/>
      <c r="BH56" s="49"/>
      <c r="BI56" s="49"/>
      <c r="BJ56" s="49"/>
      <c r="BK56" s="49"/>
      <c r="BL56" s="49"/>
      <c r="BM56" s="49"/>
    </row>
    <row r="57" spans="5:65" hidden="1" x14ac:dyDescent="0.2">
      <c r="F57" s="100"/>
      <c r="H57" s="49"/>
      <c r="J57" s="98"/>
      <c r="T57" s="98"/>
      <c r="X57" s="49"/>
      <c r="Y57" s="49"/>
      <c r="AB57" s="49"/>
      <c r="AC57" s="49"/>
      <c r="AD57" s="49"/>
      <c r="AE57" s="49"/>
      <c r="AF57" s="49"/>
      <c r="AG57" s="49"/>
      <c r="AH57" s="49"/>
      <c r="AI57" s="49"/>
      <c r="AL57" s="49"/>
      <c r="AM57" s="49"/>
      <c r="AN57" s="49"/>
      <c r="AO57" s="98" t="s">
        <v>79</v>
      </c>
      <c r="AY57" s="98" t="s">
        <v>84</v>
      </c>
      <c r="AZ57" s="49"/>
      <c r="BA57" s="49"/>
      <c r="BB57" s="49"/>
      <c r="BC57" s="49"/>
      <c r="BF57" s="49"/>
      <c r="BG57" s="49"/>
      <c r="BH57" s="49"/>
      <c r="BI57" s="49"/>
      <c r="BJ57" s="49"/>
      <c r="BK57" s="49"/>
      <c r="BL57" s="49"/>
      <c r="BM57" s="49"/>
    </row>
    <row r="58" spans="5:65" hidden="1" x14ac:dyDescent="0.2">
      <c r="F58" s="100"/>
      <c r="H58" s="49"/>
      <c r="I58" s="49"/>
      <c r="J58" s="49"/>
      <c r="K58" s="49"/>
      <c r="L58" s="49"/>
      <c r="M58" s="49"/>
      <c r="N58" s="49"/>
      <c r="O58" s="49"/>
      <c r="R58" s="49"/>
      <c r="S58" s="49"/>
      <c r="T58" s="49"/>
      <c r="U58" s="98" t="s">
        <v>83</v>
      </c>
      <c r="AE58" s="98" t="s">
        <v>84</v>
      </c>
      <c r="AF58" s="49"/>
      <c r="AG58" s="49"/>
      <c r="AH58" s="49"/>
      <c r="AI58" s="49"/>
      <c r="AL58" s="49"/>
      <c r="AM58" s="49"/>
      <c r="AN58" s="49"/>
      <c r="AO58" s="49"/>
      <c r="AP58" s="49"/>
      <c r="AQ58" s="49"/>
      <c r="AR58" s="49"/>
      <c r="AS58" s="49"/>
      <c r="AV58" s="49"/>
      <c r="AW58" s="49"/>
      <c r="AX58" s="49"/>
      <c r="AY58" s="49"/>
      <c r="AZ58" s="49"/>
      <c r="BA58" s="49"/>
      <c r="BB58" s="49"/>
      <c r="BC58" s="49"/>
      <c r="BF58" s="49"/>
      <c r="BG58" s="49"/>
      <c r="BH58" s="49"/>
      <c r="BI58" s="49"/>
      <c r="BJ58" s="98" t="s">
        <v>79</v>
      </c>
      <c r="BK58" s="49"/>
      <c r="BL58" s="49"/>
      <c r="BM58" s="49"/>
    </row>
    <row r="59" spans="5:65" hidden="1" x14ac:dyDescent="0.2">
      <c r="F59" s="100"/>
      <c r="H59" s="49"/>
      <c r="I59" s="49"/>
      <c r="J59" s="49"/>
      <c r="K59" s="98" t="s">
        <v>78</v>
      </c>
      <c r="L59" s="49"/>
      <c r="M59" s="49"/>
      <c r="N59" s="49"/>
      <c r="O59" s="49"/>
      <c r="R59" s="49"/>
      <c r="S59" s="49"/>
      <c r="T59" s="49"/>
      <c r="U59" s="49"/>
      <c r="V59" s="49"/>
      <c r="W59" s="49"/>
      <c r="X59" s="49"/>
      <c r="Y59" s="49"/>
      <c r="AB59" s="49"/>
      <c r="AC59" s="49"/>
      <c r="AD59" s="49"/>
      <c r="AE59" s="49"/>
      <c r="AF59" s="49"/>
      <c r="AG59" s="49"/>
      <c r="AH59" s="49"/>
      <c r="AI59" s="49"/>
      <c r="AL59" s="49"/>
      <c r="AM59" s="49"/>
      <c r="AN59" s="49"/>
      <c r="AO59" s="49"/>
      <c r="AP59" s="49"/>
      <c r="AQ59" s="49"/>
      <c r="AR59" s="49"/>
      <c r="AS59" s="49"/>
      <c r="AV59" s="49"/>
      <c r="AW59" s="49"/>
      <c r="AX59" s="49"/>
      <c r="AY59" s="49"/>
      <c r="AZ59" s="49"/>
      <c r="BA59" s="49"/>
      <c r="BB59" s="49"/>
      <c r="BC59" s="49"/>
      <c r="BF59" s="49"/>
      <c r="BG59" s="49"/>
      <c r="BH59" s="49"/>
      <c r="BI59" s="49"/>
      <c r="BJ59" s="49"/>
      <c r="BK59" s="49"/>
      <c r="BL59" s="49"/>
      <c r="BM59" s="49"/>
    </row>
    <row r="60" spans="5:65" hidden="1" x14ac:dyDescent="0.2">
      <c r="J60" s="98"/>
      <c r="T60" s="98"/>
    </row>
    <row r="61" spans="5:65" hidden="1" x14ac:dyDescent="0.2">
      <c r="J61" s="98"/>
      <c r="T61" s="98"/>
    </row>
    <row r="62" spans="5:65" hidden="1" x14ac:dyDescent="0.2">
      <c r="H62" s="235" t="s">
        <v>131</v>
      </c>
      <c r="I62" s="235"/>
      <c r="J62" s="235" t="s">
        <v>132</v>
      </c>
      <c r="K62" s="235"/>
      <c r="L62" s="235" t="s">
        <v>133</v>
      </c>
      <c r="M62" s="235"/>
      <c r="N62" s="235" t="s">
        <v>134</v>
      </c>
      <c r="O62" s="235"/>
      <c r="R62" s="235" t="s">
        <v>131</v>
      </c>
      <c r="S62" s="235"/>
      <c r="T62" s="235" t="s">
        <v>132</v>
      </c>
      <c r="U62" s="235"/>
      <c r="V62" s="235" t="s">
        <v>133</v>
      </c>
      <c r="W62" s="235"/>
      <c r="X62" s="235" t="s">
        <v>134</v>
      </c>
      <c r="Y62" s="235"/>
      <c r="AB62" s="235" t="s">
        <v>135</v>
      </c>
      <c r="AC62" s="235"/>
      <c r="AD62" s="235" t="s">
        <v>136</v>
      </c>
      <c r="AE62" s="235"/>
      <c r="AF62" s="235" t="s">
        <v>137</v>
      </c>
      <c r="AG62" s="235"/>
      <c r="AH62" s="235" t="s">
        <v>138</v>
      </c>
      <c r="AI62" s="235"/>
      <c r="AL62" s="235" t="s">
        <v>135</v>
      </c>
      <c r="AM62" s="235"/>
      <c r="AN62" s="235" t="s">
        <v>136</v>
      </c>
      <c r="AO62" s="235"/>
      <c r="AP62" s="235" t="s">
        <v>137</v>
      </c>
      <c r="AQ62" s="235"/>
      <c r="AR62" s="235" t="s">
        <v>138</v>
      </c>
      <c r="AS62" s="235"/>
      <c r="AV62" s="235" t="s">
        <v>139</v>
      </c>
      <c r="AW62" s="235"/>
      <c r="AX62" s="235" t="s">
        <v>140</v>
      </c>
      <c r="AY62" s="235"/>
      <c r="AZ62" s="235" t="s">
        <v>141</v>
      </c>
      <c r="BA62" s="235"/>
      <c r="BB62" s="235" t="s">
        <v>142</v>
      </c>
      <c r="BC62" s="235"/>
      <c r="BF62" s="235" t="s">
        <v>139</v>
      </c>
      <c r="BG62" s="235"/>
      <c r="BH62" s="235" t="s">
        <v>140</v>
      </c>
      <c r="BI62" s="235"/>
      <c r="BJ62" s="235" t="s">
        <v>141</v>
      </c>
      <c r="BK62" s="235"/>
      <c r="BL62" s="235" t="s">
        <v>142</v>
      </c>
      <c r="BM62" s="235"/>
    </row>
    <row r="63" spans="5:65" hidden="1" x14ac:dyDescent="0.2">
      <c r="F63" s="100">
        <f>+DIM!S10-0.01</f>
        <v>4.99</v>
      </c>
      <c r="H63" s="236">
        <f>+IF(H43&gt;$F$63,1,0)</f>
        <v>1</v>
      </c>
      <c r="I63" s="236"/>
      <c r="J63" s="236">
        <f>+IF(J43&gt;$F$63,1,0)</f>
        <v>1</v>
      </c>
      <c r="K63" s="236"/>
      <c r="L63" s="236">
        <f>+IF(L43&gt;$F$63,1,0)</f>
        <v>1</v>
      </c>
      <c r="M63" s="236"/>
      <c r="N63" s="236">
        <f>+IF(N43&gt;$F$63,1,0)</f>
        <v>1</v>
      </c>
      <c r="O63" s="236"/>
      <c r="R63" s="236">
        <f>+IF(R43&gt;$F$63,1,0)</f>
        <v>0</v>
      </c>
      <c r="S63" s="236"/>
      <c r="T63" s="236">
        <f>+IF(T43&gt;$F$63,1,0)</f>
        <v>0</v>
      </c>
      <c r="U63" s="236"/>
      <c r="V63" s="236">
        <f>+IF(V43&gt;$F$63,1,0)</f>
        <v>0</v>
      </c>
      <c r="W63" s="236"/>
      <c r="X63" s="236">
        <f>+IF(X43&gt;$F$63,1,0)</f>
        <v>0</v>
      </c>
      <c r="Y63" s="236"/>
      <c r="AB63" s="236">
        <f>+IF(AB43&gt;$F$63,1,0)</f>
        <v>1</v>
      </c>
      <c r="AC63" s="236"/>
      <c r="AD63" s="236">
        <f>+IF(AD43&gt;$F$63,1,0)</f>
        <v>1</v>
      </c>
      <c r="AE63" s="236"/>
      <c r="AF63" s="236">
        <f>+IF(AF43&gt;$F$63,1,0)</f>
        <v>1</v>
      </c>
      <c r="AG63" s="236"/>
      <c r="AH63" s="236">
        <f>+IF(AH43&gt;$F$63,1,0)</f>
        <v>1</v>
      </c>
      <c r="AI63" s="236"/>
      <c r="AL63" s="236">
        <f>+IF(AL43&gt;$F$63,1,0)</f>
        <v>1</v>
      </c>
      <c r="AM63" s="236"/>
      <c r="AN63" s="236">
        <f>+IF(AN43&gt;$F$63,1,0)</f>
        <v>1</v>
      </c>
      <c r="AO63" s="236"/>
      <c r="AP63" s="236">
        <f>+IF(AP43&gt;$F$63,1,0)</f>
        <v>1</v>
      </c>
      <c r="AQ63" s="236"/>
      <c r="AR63" s="236">
        <f>+IF(AR43&gt;$F$63,1,0)</f>
        <v>1</v>
      </c>
      <c r="AS63" s="236"/>
      <c r="AV63" s="236">
        <f>+IF(AV43&gt;$F$63,1,0)</f>
        <v>1</v>
      </c>
      <c r="AW63" s="236"/>
      <c r="AX63" s="236">
        <f>+IF(AX43&gt;$F$63,1,0)</f>
        <v>1</v>
      </c>
      <c r="AY63" s="236"/>
      <c r="AZ63" s="236">
        <f>+IF(AZ43&gt;$F$63,1,0)</f>
        <v>1</v>
      </c>
      <c r="BA63" s="236"/>
      <c r="BB63" s="236">
        <f>+IF(BB43&gt;$F$63,1,0)</f>
        <v>1</v>
      </c>
      <c r="BC63" s="236"/>
      <c r="BF63" s="236">
        <f>+IF(BF43&gt;$F$63,1,0)</f>
        <v>1</v>
      </c>
      <c r="BG63" s="236"/>
      <c r="BH63" s="236">
        <f>+IF(BH43&gt;$F$63,1,0)</f>
        <v>1</v>
      </c>
      <c r="BI63" s="236"/>
      <c r="BJ63" s="236">
        <f>+IF(BJ43&gt;$F$63,1,0)</f>
        <v>1</v>
      </c>
      <c r="BK63" s="236"/>
      <c r="BL63" s="236">
        <f>+IF(BL43&gt;$F$63,1,0)</f>
        <v>1</v>
      </c>
      <c r="BM63" s="236"/>
    </row>
    <row r="64" spans="5:65" hidden="1" x14ac:dyDescent="0.2">
      <c r="H64">
        <v>27.44</v>
      </c>
      <c r="J64">
        <f>1.97+H64</f>
        <v>29.41</v>
      </c>
      <c r="L64">
        <f>3.94+H64</f>
        <v>31.380000000000003</v>
      </c>
      <c r="N64">
        <f>5.91+H64</f>
        <v>33.35</v>
      </c>
      <c r="R64">
        <v>27.44</v>
      </c>
      <c r="T64">
        <f>1.97+R64</f>
        <v>29.41</v>
      </c>
      <c r="V64">
        <f>3.94+R64</f>
        <v>31.380000000000003</v>
      </c>
      <c r="X64">
        <f>5.91+R64</f>
        <v>33.35</v>
      </c>
      <c r="AB64">
        <v>27.44</v>
      </c>
      <c r="AD64">
        <f>1.97+AB64</f>
        <v>29.41</v>
      </c>
      <c r="AF64">
        <f>3.94+AB64</f>
        <v>31.380000000000003</v>
      </c>
      <c r="AH64">
        <f>5.91+AB64</f>
        <v>33.35</v>
      </c>
      <c r="AL64">
        <v>27.44</v>
      </c>
      <c r="AN64">
        <f>1.97+AL64</f>
        <v>29.41</v>
      </c>
      <c r="AP64">
        <f>3.94+AL64</f>
        <v>31.380000000000003</v>
      </c>
      <c r="AR64">
        <f>5.91+AL64</f>
        <v>33.35</v>
      </c>
      <c r="AV64">
        <v>27.44</v>
      </c>
      <c r="AX64">
        <f>1.97+AV64</f>
        <v>29.41</v>
      </c>
      <c r="AZ64">
        <f>3.94+AV64</f>
        <v>31.380000000000003</v>
      </c>
      <c r="BB64">
        <f>5.91+AV64</f>
        <v>33.35</v>
      </c>
      <c r="BF64">
        <v>27.44</v>
      </c>
      <c r="BH64">
        <f>1.97+BF64</f>
        <v>29.41</v>
      </c>
      <c r="BJ64">
        <f>3.94+BF64</f>
        <v>31.380000000000003</v>
      </c>
      <c r="BL64">
        <f>5.91+BF64</f>
        <v>33.35</v>
      </c>
    </row>
    <row r="65" spans="5:61" hidden="1" x14ac:dyDescent="0.2">
      <c r="J65" t="s">
        <v>123</v>
      </c>
      <c r="L65" t="s">
        <v>88</v>
      </c>
      <c r="T65" t="s">
        <v>124</v>
      </c>
      <c r="V65" t="s">
        <v>88</v>
      </c>
    </row>
    <row r="66" spans="5:61" hidden="1" x14ac:dyDescent="0.2">
      <c r="K66" t="str">
        <f>+IF(H63=1,H62,IF(J63=1,J62,IF(L63=1,L62,IF(N63=1,N62,0))))</f>
        <v>C17+5</v>
      </c>
      <c r="L66" t="str">
        <f>+AE66</f>
        <v>C21+5</v>
      </c>
      <c r="M66" t="str">
        <f>+AY66</f>
        <v>C25+5</v>
      </c>
      <c r="U66">
        <f>+IF(R63=1,R62,IF(T63=1,T62,IF(V63=1,V62,IF(X63=1,X62,0))))</f>
        <v>0</v>
      </c>
      <c r="V66" t="str">
        <f>+AO66</f>
        <v>C21+5</v>
      </c>
      <c r="W66" t="str">
        <f>+BI66</f>
        <v>C25+5</v>
      </c>
      <c r="AE66" t="str">
        <f>+IF(AB63=1,AB62,IF(AD63=1,AD62,IF(AF63=1,AF62,IF(AH63=1,AH62,0))))</f>
        <v>C21+5</v>
      </c>
      <c r="AO66" t="str">
        <f>+IF(AL63=1,AL62,IF(AN63=1,AN62,IF(AP63=1,AP62,IF(AR63=1,AR62,0))))</f>
        <v>C21+5</v>
      </c>
      <c r="AY66" t="str">
        <f>+IF(AV63=1,AV62,IF(AX63=1,AX62,IF(AZ63=1,AZ62,IF(BB63=1,BB62,0))))</f>
        <v>C25+5</v>
      </c>
      <c r="BI66" t="str">
        <f>+IF(BF63=1,BF62,IF(BH63=1,BH62,IF(BJ63=1,BJ62,IF(BL63=1,BL62,0))))</f>
        <v>C25+5</v>
      </c>
    </row>
    <row r="67" spans="5:61" hidden="1" x14ac:dyDescent="0.2">
      <c r="E67" s="98" t="s">
        <v>314</v>
      </c>
      <c r="J67" s="98" t="str">
        <f>+IF(K66&gt;0,K66,IF(L66&gt;0,L66,IF(M66&gt;0,M66,"hors limite")))</f>
        <v>C17+5</v>
      </c>
      <c r="T67" s="98" t="str">
        <f>+IF(U66&gt;0,U66,IF(V66&gt;0,V66,IF(W66&gt;0,W66,"hors limite")))</f>
        <v>C21+5</v>
      </c>
    </row>
    <row r="68" spans="5:61" hidden="1" x14ac:dyDescent="0.2">
      <c r="I68" t="s">
        <v>75</v>
      </c>
      <c r="J68" s="98">
        <f>+IF(K66&gt;0,K68,IF(L66&gt;0,L68,IF(M66&gt;0,M68,0)))</f>
        <v>174</v>
      </c>
      <c r="K68">
        <f>+HLOOKUP(J67,H13:O42,28,FALSE)</f>
        <v>174</v>
      </c>
      <c r="L68">
        <f>+HLOOKUP(L66,AB13:AI41,28,FALSE)</f>
        <v>192</v>
      </c>
      <c r="M68">
        <f>+HLOOKUP(M66,AV13:BC41,28,FALSE)</f>
        <v>214</v>
      </c>
      <c r="T68" s="98">
        <f>+IF(U66&gt;0,U68,IF(V66&gt;0,V68,IF(W66&gt;0,W68,0)))</f>
        <v>192</v>
      </c>
      <c r="U68" t="e">
        <f>+HLOOKUP(U66,R13:Y41,28,FALSE)</f>
        <v>#N/A</v>
      </c>
      <c r="V68">
        <f>+HLOOKUP(V66,AL13:AS41,28,FALSE)</f>
        <v>192</v>
      </c>
      <c r="W68">
        <f>+HLOOKUP(W66,BF13:BM41,28,FALSE)</f>
        <v>214</v>
      </c>
    </row>
    <row r="69" spans="5:61" hidden="1" x14ac:dyDescent="0.2">
      <c r="I69" t="s">
        <v>72</v>
      </c>
      <c r="J69" s="98">
        <f>+IF(K66&gt;0,K69,IF(L66&gt;0,L69,IF(M66&gt;0,M69,0)))</f>
        <v>50</v>
      </c>
      <c r="K69">
        <f>+HLOOKUP(J67,H13:O41,29,FALSE)</f>
        <v>50</v>
      </c>
      <c r="L69">
        <f>+HLOOKUP(L66,AB13:AI41,29,FALSE)</f>
        <v>50</v>
      </c>
      <c r="M69">
        <f>+HLOOKUP(M66,AV13:BC55,29,FALSE)</f>
        <v>50</v>
      </c>
      <c r="T69" s="98">
        <f>+IF(U66&gt;0,U69,IF(V66&gt;0,V69,IF(W66&gt;0,W69,0)))</f>
        <v>50</v>
      </c>
      <c r="U69" t="e">
        <f>+HLOOKUP(U66,R13:Y41,29,FALSE)</f>
        <v>#N/A</v>
      </c>
      <c r="V69">
        <f>+HLOOKUP(V66,AL13:AS41,29,FALSE)</f>
        <v>50</v>
      </c>
      <c r="W69">
        <f>+HLOOKUP(W66,BF13:BM41,29,FALSE)</f>
        <v>50</v>
      </c>
    </row>
    <row r="70" spans="5:61" hidden="1" x14ac:dyDescent="0.2">
      <c r="I70" t="s">
        <v>274</v>
      </c>
      <c r="J70" s="98">
        <f>+IF(K66&gt;0,K70,IF(L66&gt;0,L70,IF(M66&gt;0,M70,0)))</f>
        <v>27.44</v>
      </c>
      <c r="K70" s="98">
        <f>+HLOOKUP(K66,H62:O64,3,FALSE)</f>
        <v>27.44</v>
      </c>
      <c r="L70" s="98">
        <f>+HLOOKUP(L66,AB62:AI64,3,FALSE)</f>
        <v>27.44</v>
      </c>
      <c r="M70" s="98">
        <f>+HLOOKUP(M66,AV62:BC64,3,FALSE)</f>
        <v>27.44</v>
      </c>
      <c r="T70" s="98">
        <f>+IF(U66&gt;0,U70,IF(V66&gt;0,V70,IF(W66&gt;0,W70,0)))</f>
        <v>27.44</v>
      </c>
      <c r="U70" s="98" t="e">
        <f>+HLOOKUP(U66,R62:Y64,3,FALSE)</f>
        <v>#N/A</v>
      </c>
      <c r="V70" s="98">
        <f>+HLOOKUP(V66,AL62:AS64,3,FALSE)</f>
        <v>27.44</v>
      </c>
      <c r="W70" s="98">
        <f>+HLOOKUP(W66,BF62:BM64,3,FALSE)</f>
        <v>27.44</v>
      </c>
    </row>
    <row r="71" spans="5:61" hidden="1" x14ac:dyDescent="0.2"/>
    <row r="72" spans="5:61" hidden="1" x14ac:dyDescent="0.2"/>
    <row r="73" spans="5:61" hidden="1" x14ac:dyDescent="0.2">
      <c r="H73" s="99" t="s">
        <v>131</v>
      </c>
      <c r="I73" s="99" t="s">
        <v>132</v>
      </c>
      <c r="J73" s="99" t="s">
        <v>133</v>
      </c>
      <c r="K73" s="99" t="s">
        <v>134</v>
      </c>
      <c r="L73" s="99" t="s">
        <v>135</v>
      </c>
      <c r="M73" s="99" t="s">
        <v>136</v>
      </c>
      <c r="N73" s="99" t="s">
        <v>137</v>
      </c>
      <c r="O73" s="99" t="s">
        <v>138</v>
      </c>
      <c r="P73" s="99" t="s">
        <v>139</v>
      </c>
      <c r="Q73" s="99" t="s">
        <v>140</v>
      </c>
      <c r="R73" s="99" t="s">
        <v>141</v>
      </c>
      <c r="S73" s="99" t="s">
        <v>142</v>
      </c>
      <c r="U73" s="99"/>
      <c r="W73" s="99"/>
      <c r="AC73" s="99"/>
      <c r="AE73" s="99"/>
      <c r="AG73" s="99"/>
    </row>
    <row r="74" spans="5:61" hidden="1" x14ac:dyDescent="0.2">
      <c r="H74">
        <v>22</v>
      </c>
      <c r="I74">
        <v>23</v>
      </c>
      <c r="J74">
        <v>24</v>
      </c>
      <c r="K74">
        <v>25</v>
      </c>
      <c r="L74">
        <v>26</v>
      </c>
      <c r="M74">
        <v>27</v>
      </c>
      <c r="N74">
        <v>28</v>
      </c>
      <c r="O74">
        <v>29</v>
      </c>
      <c r="P74">
        <v>30</v>
      </c>
      <c r="Q74">
        <v>31</v>
      </c>
      <c r="R74">
        <v>32</v>
      </c>
      <c r="S74">
        <v>33</v>
      </c>
    </row>
    <row r="75" spans="5:61" hidden="1" x14ac:dyDescent="0.2"/>
    <row r="76" spans="5:61" hidden="1" x14ac:dyDescent="0.2"/>
  </sheetData>
  <sheetProtection algorithmName="SHA-512" hashValue="64tIQS3RMFwUlTop/taECFSpv/swPvy+ZpEGbLKqOVVLTSLHLSKihPKwE+svei0qHn6D7lgTpEleSN7BJ/CM2g==" saltValue="MbZEWSZgaPjUK17ppp1YXQ==" spinCount="100000" sheet="1" objects="1" scenarios="1"/>
  <mergeCells count="168">
    <mergeCell ref="AZ63:BA63"/>
    <mergeCell ref="BB63:BC63"/>
    <mergeCell ref="BF63:BG63"/>
    <mergeCell ref="BH63:BI63"/>
    <mergeCell ref="BJ63:BK63"/>
    <mergeCell ref="BL63:BM63"/>
    <mergeCell ref="AZ62:BA62"/>
    <mergeCell ref="BB62:BC62"/>
    <mergeCell ref="BF62:BG62"/>
    <mergeCell ref="BH62:BI62"/>
    <mergeCell ref="BJ62:BK62"/>
    <mergeCell ref="BL62:BM62"/>
    <mergeCell ref="H63:I63"/>
    <mergeCell ref="J63:K63"/>
    <mergeCell ref="L63:M63"/>
    <mergeCell ref="N63:O63"/>
    <mergeCell ref="R63:S63"/>
    <mergeCell ref="T63:U63"/>
    <mergeCell ref="V63:W63"/>
    <mergeCell ref="X63:Y63"/>
    <mergeCell ref="AB63:AC63"/>
    <mergeCell ref="AD63:AE63"/>
    <mergeCell ref="AF63:AG63"/>
    <mergeCell ref="AH63:AI63"/>
    <mergeCell ref="AL63:AM63"/>
    <mergeCell ref="AN63:AO63"/>
    <mergeCell ref="AP63:AQ63"/>
    <mergeCell ref="AR63:AS63"/>
    <mergeCell ref="AV63:AW63"/>
    <mergeCell ref="AX63:AY63"/>
    <mergeCell ref="AZ13:BA13"/>
    <mergeCell ref="BB13:BC13"/>
    <mergeCell ref="BF13:BG13"/>
    <mergeCell ref="BH13:BI13"/>
    <mergeCell ref="BJ13:BK13"/>
    <mergeCell ref="BL13:BM13"/>
    <mergeCell ref="H62:I62"/>
    <mergeCell ref="J62:K62"/>
    <mergeCell ref="L62:M62"/>
    <mergeCell ref="N62:O62"/>
    <mergeCell ref="R62:S62"/>
    <mergeCell ref="T62:U62"/>
    <mergeCell ref="V62:W62"/>
    <mergeCell ref="X62:Y62"/>
    <mergeCell ref="AB62:AC62"/>
    <mergeCell ref="AD62:AE62"/>
    <mergeCell ref="AF62:AG62"/>
    <mergeCell ref="AH62:AI62"/>
    <mergeCell ref="AL62:AM62"/>
    <mergeCell ref="AN62:AO62"/>
    <mergeCell ref="AP62:AQ62"/>
    <mergeCell ref="AR62:AS62"/>
    <mergeCell ref="AV62:AW62"/>
    <mergeCell ref="AX62:AY62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AZ14:BA14"/>
    <mergeCell ref="BB14:BC14"/>
    <mergeCell ref="BF14:BG14"/>
    <mergeCell ref="BH14:BI14"/>
    <mergeCell ref="BJ14:BK14"/>
    <mergeCell ref="BL14:BM14"/>
    <mergeCell ref="AL14:AM14"/>
    <mergeCell ref="AN14:AO14"/>
    <mergeCell ref="AP14:AQ14"/>
    <mergeCell ref="AR14:AS14"/>
    <mergeCell ref="AV14:AW14"/>
    <mergeCell ref="AX14:AY14"/>
    <mergeCell ref="V40:W40"/>
    <mergeCell ref="X40:Y40"/>
    <mergeCell ref="AB40:AC40"/>
    <mergeCell ref="AD40:AE40"/>
    <mergeCell ref="AF40:AG40"/>
    <mergeCell ref="AH40:AI40"/>
    <mergeCell ref="H40:I40"/>
    <mergeCell ref="J40:K40"/>
    <mergeCell ref="L40:M40"/>
    <mergeCell ref="N40:O40"/>
    <mergeCell ref="R40:S40"/>
    <mergeCell ref="T40:U40"/>
    <mergeCell ref="AZ40:BA40"/>
    <mergeCell ref="BB40:BC40"/>
    <mergeCell ref="BF40:BG40"/>
    <mergeCell ref="BH40:BI40"/>
    <mergeCell ref="BJ40:BK40"/>
    <mergeCell ref="BL40:BM40"/>
    <mergeCell ref="AL40:AM40"/>
    <mergeCell ref="AN40:AO40"/>
    <mergeCell ref="AP40:AQ40"/>
    <mergeCell ref="AR40:AS40"/>
    <mergeCell ref="AV40:AW40"/>
    <mergeCell ref="AX40:AY40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N41:O41"/>
    <mergeCell ref="R41:S41"/>
    <mergeCell ref="T41:U41"/>
    <mergeCell ref="AZ41:BA41"/>
    <mergeCell ref="BB41:BC41"/>
    <mergeCell ref="BF41:BG41"/>
    <mergeCell ref="BH41:BI41"/>
    <mergeCell ref="BJ41:BK41"/>
    <mergeCell ref="BL41:BM41"/>
    <mergeCell ref="AL41:AM41"/>
    <mergeCell ref="AN41:AO41"/>
    <mergeCell ref="AP41:AQ41"/>
    <mergeCell ref="AR41:AS41"/>
    <mergeCell ref="AV41:AW41"/>
    <mergeCell ref="AX41:AY41"/>
    <mergeCell ref="V43:W43"/>
    <mergeCell ref="X43:Y43"/>
    <mergeCell ref="AB43:AC43"/>
    <mergeCell ref="AD43:AE43"/>
    <mergeCell ref="AF43:AG43"/>
    <mergeCell ref="AH43:AI43"/>
    <mergeCell ref="H43:I43"/>
    <mergeCell ref="J43:K43"/>
    <mergeCell ref="L43:M43"/>
    <mergeCell ref="N43:O43"/>
    <mergeCell ref="R43:S43"/>
    <mergeCell ref="T43:U43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</mergeCells>
  <pageMargins left="0.7" right="0.7" top="0.75" bottom="0.75" header="0.3" footer="0.3"/>
  <ignoredErrors>
    <ignoredError sqref="AF33:AF37 AH33:AH36 AZ33:BA36 AH21:AH23 AF21:AF23 AZ27:BA31 AH25:AH31 AF25:AF31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BCBF0-94D8-4E9C-8A33-93AB009A6745}">
  <dimension ref="B9:BW129"/>
  <sheetViews>
    <sheetView topLeftCell="A130" zoomScaleNormal="100" workbookViewId="0">
      <selection activeCell="A129" sqref="A9:XFD129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9" spans="7:75" hidden="1" x14ac:dyDescent="0.2"/>
    <row r="10" spans="7:75" ht="19.5" hidden="1" x14ac:dyDescent="0.35">
      <c r="K10" s="97">
        <v>12</v>
      </c>
      <c r="L10" s="97" t="s">
        <v>96</v>
      </c>
      <c r="U10" s="97">
        <v>12</v>
      </c>
      <c r="V10" s="97" t="s">
        <v>97</v>
      </c>
      <c r="AE10" s="97">
        <v>15</v>
      </c>
      <c r="AF10" s="97" t="s">
        <v>96</v>
      </c>
      <c r="AO10" s="97">
        <v>15</v>
      </c>
      <c r="AP10" s="97" t="s">
        <v>97</v>
      </c>
      <c r="AY10" s="97">
        <v>20</v>
      </c>
      <c r="AZ10" s="97" t="s">
        <v>96</v>
      </c>
      <c r="BI10" s="97">
        <v>20</v>
      </c>
      <c r="BJ10" s="97" t="s">
        <v>97</v>
      </c>
    </row>
    <row r="11" spans="7:75" hidden="1" x14ac:dyDescent="0.2">
      <c r="K11" s="98" t="s">
        <v>78</v>
      </c>
      <c r="U11" s="98" t="s">
        <v>98</v>
      </c>
      <c r="AE11" s="98" t="s">
        <v>84</v>
      </c>
      <c r="AO11" s="98" t="s">
        <v>99</v>
      </c>
      <c r="AY11" s="98" t="s">
        <v>84</v>
      </c>
      <c r="BI11" s="98" t="s">
        <v>78</v>
      </c>
    </row>
    <row r="12" spans="7:75" hidden="1" x14ac:dyDescent="0.2">
      <c r="H12">
        <v>137</v>
      </c>
      <c r="R12">
        <v>137</v>
      </c>
      <c r="T12">
        <v>137</v>
      </c>
      <c r="AB12">
        <v>158</v>
      </c>
      <c r="AD12">
        <v>179</v>
      </c>
      <c r="AF12">
        <v>189</v>
      </c>
      <c r="AH12">
        <v>189</v>
      </c>
      <c r="AL12">
        <v>158</v>
      </c>
      <c r="AN12">
        <v>179</v>
      </c>
      <c r="AP12">
        <v>189</v>
      </c>
      <c r="AR12">
        <v>189</v>
      </c>
      <c r="AV12">
        <v>189</v>
      </c>
      <c r="AX12">
        <v>189</v>
      </c>
      <c r="AZ12">
        <v>189</v>
      </c>
      <c r="BB12">
        <v>189</v>
      </c>
      <c r="BF12">
        <v>189</v>
      </c>
      <c r="BH12">
        <v>189</v>
      </c>
      <c r="BJ12">
        <v>189</v>
      </c>
      <c r="BL12">
        <v>189</v>
      </c>
    </row>
    <row r="13" spans="7:75" hidden="1" x14ac:dyDescent="0.2">
      <c r="H13" s="235" t="s">
        <v>111</v>
      </c>
      <c r="I13" s="235"/>
      <c r="J13" s="235" t="s">
        <v>112</v>
      </c>
      <c r="K13" s="235"/>
      <c r="L13" s="235" t="s">
        <v>113</v>
      </c>
      <c r="M13" s="235"/>
      <c r="N13" s="235" t="s">
        <v>114</v>
      </c>
      <c r="O13" s="235"/>
      <c r="R13" s="235" t="s">
        <v>111</v>
      </c>
      <c r="S13" s="235"/>
      <c r="T13" s="235" t="s">
        <v>112</v>
      </c>
      <c r="U13" s="235"/>
      <c r="V13" s="235" t="s">
        <v>113</v>
      </c>
      <c r="W13" s="235"/>
      <c r="X13" s="235" t="s">
        <v>114</v>
      </c>
      <c r="Y13" s="235"/>
      <c r="AB13" s="235" t="s">
        <v>115</v>
      </c>
      <c r="AC13" s="235"/>
      <c r="AD13" s="235" t="s">
        <v>116</v>
      </c>
      <c r="AE13" s="235"/>
      <c r="AF13" s="235" t="s">
        <v>117</v>
      </c>
      <c r="AG13" s="235"/>
      <c r="AH13" s="235" t="s">
        <v>118</v>
      </c>
      <c r="AI13" s="235"/>
      <c r="AL13" s="235" t="s">
        <v>115</v>
      </c>
      <c r="AM13" s="235"/>
      <c r="AN13" s="235" t="s">
        <v>116</v>
      </c>
      <c r="AO13" s="235"/>
      <c r="AP13" s="235" t="s">
        <v>117</v>
      </c>
      <c r="AQ13" s="235"/>
      <c r="AR13" s="235" t="s">
        <v>118</v>
      </c>
      <c r="AS13" s="235"/>
      <c r="AV13" s="235" t="s">
        <v>119</v>
      </c>
      <c r="AW13" s="235"/>
      <c r="AX13" s="235" t="s">
        <v>120</v>
      </c>
      <c r="AY13" s="235"/>
      <c r="AZ13" s="235" t="s">
        <v>121</v>
      </c>
      <c r="BA13" s="235"/>
      <c r="BB13" s="235" t="s">
        <v>122</v>
      </c>
      <c r="BC13" s="235"/>
      <c r="BF13" s="235" t="s">
        <v>119</v>
      </c>
      <c r="BG13" s="235"/>
      <c r="BH13" s="235" t="s">
        <v>120</v>
      </c>
      <c r="BI13" s="235"/>
      <c r="BJ13" s="235" t="s">
        <v>121</v>
      </c>
      <c r="BK13" s="235"/>
      <c r="BL13" s="235" t="s">
        <v>122</v>
      </c>
      <c r="BM13" s="235"/>
    </row>
    <row r="14" spans="7:75" hidden="1" x14ac:dyDescent="0.2">
      <c r="H14" s="235">
        <v>5</v>
      </c>
      <c r="I14" s="235"/>
      <c r="J14" s="235">
        <v>6</v>
      </c>
      <c r="K14" s="235"/>
      <c r="L14" s="235">
        <v>7</v>
      </c>
      <c r="M14" s="235"/>
      <c r="N14" s="235">
        <v>8</v>
      </c>
      <c r="O14" s="235"/>
      <c r="R14" s="235">
        <v>5</v>
      </c>
      <c r="S14" s="235"/>
      <c r="T14" s="235">
        <v>6</v>
      </c>
      <c r="U14" s="235"/>
      <c r="V14" s="235">
        <v>7</v>
      </c>
      <c r="W14" s="235"/>
      <c r="X14" s="235">
        <v>8</v>
      </c>
      <c r="Y14" s="235"/>
      <c r="AB14" s="235">
        <v>5</v>
      </c>
      <c r="AC14" s="235"/>
      <c r="AD14" s="235">
        <v>6</v>
      </c>
      <c r="AE14" s="235"/>
      <c r="AF14" s="235">
        <v>7</v>
      </c>
      <c r="AG14" s="235"/>
      <c r="AH14" s="235">
        <v>8</v>
      </c>
      <c r="AI14" s="235"/>
      <c r="AL14" s="235">
        <v>5</v>
      </c>
      <c r="AM14" s="235"/>
      <c r="AN14" s="235">
        <v>6</v>
      </c>
      <c r="AO14" s="235"/>
      <c r="AP14" s="235">
        <v>7</v>
      </c>
      <c r="AQ14" s="235"/>
      <c r="AR14" s="235">
        <v>8</v>
      </c>
      <c r="AS14" s="235"/>
      <c r="AV14" s="235">
        <v>5</v>
      </c>
      <c r="AW14" s="235"/>
      <c r="AX14" s="235">
        <v>6</v>
      </c>
      <c r="AY14" s="235"/>
      <c r="AZ14" s="235">
        <v>7</v>
      </c>
      <c r="BA14" s="235"/>
      <c r="BB14" s="235">
        <v>8</v>
      </c>
      <c r="BC14" s="235"/>
      <c r="BF14" s="235">
        <v>5</v>
      </c>
      <c r="BG14" s="235"/>
      <c r="BH14" s="235">
        <v>6</v>
      </c>
      <c r="BI14" s="235"/>
      <c r="BJ14" s="235">
        <v>7</v>
      </c>
      <c r="BK14" s="235"/>
      <c r="BL14" s="235">
        <v>8</v>
      </c>
      <c r="BM14" s="235"/>
      <c r="BP14" s="236"/>
      <c r="BQ14" s="236"/>
      <c r="BR14" s="236"/>
      <c r="BS14" s="236"/>
      <c r="BT14" s="236"/>
      <c r="BU14" s="236"/>
      <c r="BV14" s="236"/>
      <c r="BW14" s="236"/>
    </row>
    <row r="15" spans="7:7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  <c r="AV15" s="99" t="s">
        <v>24</v>
      </c>
      <c r="AW15" s="99" t="s">
        <v>25</v>
      </c>
      <c r="AX15" s="99" t="s">
        <v>24</v>
      </c>
      <c r="AY15" s="99" t="s">
        <v>25</v>
      </c>
      <c r="AZ15" s="99" t="s">
        <v>24</v>
      </c>
      <c r="BA15" s="99" t="s">
        <v>25</v>
      </c>
      <c r="BB15" s="99" t="s">
        <v>24</v>
      </c>
      <c r="BC15" s="99" t="s">
        <v>25</v>
      </c>
      <c r="BF15" s="99" t="s">
        <v>24</v>
      </c>
      <c r="BG15" s="99" t="s">
        <v>25</v>
      </c>
      <c r="BH15" s="99" t="s">
        <v>24</v>
      </c>
      <c r="BI15" s="99" t="s">
        <v>25</v>
      </c>
      <c r="BJ15" s="99" t="s">
        <v>24</v>
      </c>
      <c r="BK15" s="99" t="s">
        <v>25</v>
      </c>
      <c r="BL15" s="99" t="s">
        <v>24</v>
      </c>
      <c r="BM15" s="99" t="s">
        <v>25</v>
      </c>
    </row>
    <row r="16" spans="7:75" hidden="1" x14ac:dyDescent="0.2">
      <c r="G16" t="s">
        <v>161</v>
      </c>
      <c r="H16">
        <v>6.2</v>
      </c>
      <c r="I16">
        <v>6.6</v>
      </c>
      <c r="J16">
        <v>6.35</v>
      </c>
      <c r="K16">
        <v>6.8</v>
      </c>
      <c r="L16">
        <v>6.5</v>
      </c>
      <c r="M16">
        <v>7</v>
      </c>
      <c r="N16">
        <v>6.7</v>
      </c>
      <c r="O16">
        <v>7.2</v>
      </c>
      <c r="Q16" t="s">
        <v>161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A16" t="s">
        <v>161</v>
      </c>
      <c r="AB16">
        <v>7.05</v>
      </c>
      <c r="AC16">
        <v>7.6</v>
      </c>
      <c r="AD16">
        <v>7</v>
      </c>
      <c r="AE16">
        <v>7.6</v>
      </c>
      <c r="AF16">
        <v>7.55</v>
      </c>
      <c r="AG16">
        <v>8.1</v>
      </c>
      <c r="AH16">
        <v>7.65</v>
      </c>
      <c r="AI16">
        <v>8.3000000000000007</v>
      </c>
      <c r="AK16" t="s">
        <v>161</v>
      </c>
      <c r="AL16">
        <v>6.8</v>
      </c>
      <c r="AM16">
        <v>7.6</v>
      </c>
      <c r="AN16">
        <v>7</v>
      </c>
      <c r="AO16">
        <v>7.6</v>
      </c>
      <c r="AP16">
        <v>7.2</v>
      </c>
      <c r="AQ16">
        <v>7.9</v>
      </c>
      <c r="AR16">
        <v>7.5</v>
      </c>
      <c r="AS16">
        <v>8.1999999999999993</v>
      </c>
      <c r="AU16" t="s">
        <v>161</v>
      </c>
      <c r="AV16">
        <v>8.25</v>
      </c>
      <c r="AW16">
        <v>8.9</v>
      </c>
      <c r="AX16">
        <v>8.35</v>
      </c>
      <c r="AY16">
        <v>9</v>
      </c>
      <c r="AZ16">
        <v>8.4499999999999993</v>
      </c>
      <c r="BA16">
        <v>9</v>
      </c>
      <c r="BB16">
        <v>8.5500000000000007</v>
      </c>
      <c r="BC16">
        <v>9</v>
      </c>
      <c r="BE16" t="s">
        <v>161</v>
      </c>
      <c r="BF16">
        <v>7.8</v>
      </c>
      <c r="BG16">
        <v>8.6</v>
      </c>
      <c r="BH16">
        <v>7.8</v>
      </c>
      <c r="BI16">
        <v>8.6</v>
      </c>
      <c r="BJ16">
        <v>7.8</v>
      </c>
      <c r="BK16">
        <v>8.6</v>
      </c>
      <c r="BL16">
        <v>7.8</v>
      </c>
      <c r="BM16">
        <v>8.6</v>
      </c>
    </row>
    <row r="17" spans="7:6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A17" t="s">
        <v>34</v>
      </c>
      <c r="AB17">
        <v>6.65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L17">
        <v>6.6</v>
      </c>
      <c r="AM17">
        <v>7.15</v>
      </c>
      <c r="AN17">
        <v>6.8</v>
      </c>
      <c r="AO17">
        <v>7.5</v>
      </c>
      <c r="AP17">
        <v>6.8</v>
      </c>
      <c r="AQ17">
        <v>7.5</v>
      </c>
      <c r="AR17">
        <v>6.9</v>
      </c>
      <c r="AS17">
        <f>0.1+AQ17</f>
        <v>7.6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  <c r="BF17">
        <v>7.3</v>
      </c>
      <c r="BG17">
        <v>8.1</v>
      </c>
      <c r="BH17">
        <f>0.1+BF17</f>
        <v>7.3999999999999995</v>
      </c>
      <c r="BI17">
        <v>8.1</v>
      </c>
      <c r="BJ17">
        <f>0.1+BH17</f>
        <v>7.4999999999999991</v>
      </c>
      <c r="BK17">
        <v>8.1</v>
      </c>
      <c r="BL17">
        <v>7.4</v>
      </c>
      <c r="BM17">
        <v>8.1999999999999993</v>
      </c>
    </row>
    <row r="18" spans="7:65" hidden="1" x14ac:dyDescent="0.2">
      <c r="G18" t="s">
        <v>35</v>
      </c>
      <c r="H18">
        <v>5.5</v>
      </c>
      <c r="I18">
        <v>5.5</v>
      </c>
      <c r="J18">
        <v>5.65</v>
      </c>
      <c r="K18">
        <v>5.75</v>
      </c>
      <c r="L18">
        <v>5.85</v>
      </c>
      <c r="M18">
        <v>5.95</v>
      </c>
      <c r="N18">
        <v>6.05</v>
      </c>
      <c r="O18">
        <v>6.2</v>
      </c>
      <c r="Q18" t="s">
        <v>35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L18">
        <v>6.2</v>
      </c>
      <c r="AM18">
        <v>6.7</v>
      </c>
      <c r="AN18">
        <v>6.4</v>
      </c>
      <c r="AO18">
        <v>7.1</v>
      </c>
      <c r="AP18">
        <v>6.4</v>
      </c>
      <c r="AQ18">
        <v>7.1</v>
      </c>
      <c r="AR18">
        <v>6.5</v>
      </c>
      <c r="AS18">
        <f t="shared" ref="AS18:AS39" si="0">0.1+AQ18</f>
        <v>7.1999999999999993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  <c r="BF18">
        <v>7</v>
      </c>
      <c r="BG18">
        <v>7.7</v>
      </c>
      <c r="BH18">
        <f t="shared" ref="BH18:BJ18" si="1">0.1+BF18</f>
        <v>7.1</v>
      </c>
      <c r="BI18">
        <v>7.7</v>
      </c>
      <c r="BJ18">
        <f t="shared" si="1"/>
        <v>7.1999999999999993</v>
      </c>
      <c r="BK18">
        <v>7.8</v>
      </c>
      <c r="BL18">
        <v>7.1</v>
      </c>
      <c r="BM18">
        <v>7.8</v>
      </c>
    </row>
    <row r="19" spans="7:6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L19">
        <v>5.8</v>
      </c>
      <c r="AM19">
        <v>6.4</v>
      </c>
      <c r="AN19">
        <v>6.1</v>
      </c>
      <c r="AO19">
        <v>6.7</v>
      </c>
      <c r="AP19">
        <v>6.2</v>
      </c>
      <c r="AQ19">
        <v>6.8</v>
      </c>
      <c r="AR19">
        <v>6.3</v>
      </c>
      <c r="AS19">
        <f t="shared" si="0"/>
        <v>6.8999999999999995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  <c r="BF19">
        <v>6.6</v>
      </c>
      <c r="BG19">
        <v>7.3</v>
      </c>
      <c r="BH19">
        <v>6.6</v>
      </c>
      <c r="BI19">
        <v>7.3</v>
      </c>
      <c r="BJ19">
        <v>6.6</v>
      </c>
      <c r="BK19">
        <v>7.4</v>
      </c>
      <c r="BL19">
        <v>6.8</v>
      </c>
      <c r="BM19">
        <v>7.4</v>
      </c>
    </row>
    <row r="20" spans="7:65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L20">
        <v>5.5</v>
      </c>
      <c r="AM20">
        <v>6.1</v>
      </c>
      <c r="AN20">
        <v>5.8</v>
      </c>
      <c r="AO20">
        <v>6.4</v>
      </c>
      <c r="AP20">
        <v>5.9</v>
      </c>
      <c r="AQ20">
        <v>6.5</v>
      </c>
      <c r="AR20">
        <v>5.9</v>
      </c>
      <c r="AS20">
        <f t="shared" si="0"/>
        <v>6.6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  <c r="BF20">
        <v>6.4</v>
      </c>
      <c r="BG20">
        <v>7</v>
      </c>
      <c r="BH20">
        <v>6.4</v>
      </c>
      <c r="BI20">
        <v>7</v>
      </c>
      <c r="BJ20">
        <v>6.4</v>
      </c>
      <c r="BK20">
        <v>7.1</v>
      </c>
      <c r="BL20">
        <v>6.5</v>
      </c>
      <c r="BM20">
        <v>7.1</v>
      </c>
    </row>
    <row r="21" spans="7:65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L21">
        <v>5.3</v>
      </c>
      <c r="AM21">
        <v>5.8</v>
      </c>
      <c r="AN21">
        <v>5.7</v>
      </c>
      <c r="AO21">
        <v>6.1</v>
      </c>
      <c r="AP21">
        <v>5.8</v>
      </c>
      <c r="AQ21">
        <v>6.2</v>
      </c>
      <c r="AR21">
        <v>5.7</v>
      </c>
      <c r="AS21">
        <f t="shared" si="0"/>
        <v>6.3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  <c r="BF21">
        <v>6.1</v>
      </c>
      <c r="BG21">
        <v>6.7</v>
      </c>
      <c r="BH21">
        <v>6.1</v>
      </c>
      <c r="BI21">
        <v>6.7</v>
      </c>
      <c r="BJ21">
        <v>6.1</v>
      </c>
      <c r="BK21">
        <v>6.8</v>
      </c>
      <c r="BL21">
        <v>6.2</v>
      </c>
      <c r="BM21">
        <v>6.8</v>
      </c>
    </row>
    <row r="22" spans="7:65" hidden="1" x14ac:dyDescent="0.2">
      <c r="G22" t="s">
        <v>38</v>
      </c>
      <c r="H22">
        <v>4.1500000000000004</v>
      </c>
      <c r="I22">
        <v>4.1500000000000004</v>
      </c>
      <c r="J22">
        <v>4.3499999999999996</v>
      </c>
      <c r="K22">
        <v>4.3499999999999996</v>
      </c>
      <c r="L22">
        <v>4.55</v>
      </c>
      <c r="M22">
        <v>4.55</v>
      </c>
      <c r="N22">
        <v>4.75</v>
      </c>
      <c r="O22">
        <v>4.75</v>
      </c>
      <c r="Q22" t="s">
        <v>38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A22" t="s">
        <v>38</v>
      </c>
      <c r="AB22">
        <v>5.25</v>
      </c>
      <c r="AC22">
        <v>5.75</v>
      </c>
      <c r="AD22">
        <v>5.6</v>
      </c>
      <c r="AE22">
        <v>6.05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L22">
        <v>4.9000000000000004</v>
      </c>
      <c r="AM22">
        <v>5.4</v>
      </c>
      <c r="AN22">
        <v>5.0999999999999996</v>
      </c>
      <c r="AO22">
        <v>5.7</v>
      </c>
      <c r="AP22">
        <v>5.2</v>
      </c>
      <c r="AQ22">
        <v>5.8</v>
      </c>
      <c r="AR22">
        <v>5.0999999999999996</v>
      </c>
      <c r="AS22">
        <f t="shared" si="0"/>
        <v>5.8999999999999995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  <c r="BF22">
        <v>5.7</v>
      </c>
      <c r="BG22">
        <v>6.3</v>
      </c>
      <c r="BH22">
        <v>5.7</v>
      </c>
      <c r="BI22">
        <v>6.3</v>
      </c>
      <c r="BJ22">
        <v>5.7</v>
      </c>
      <c r="BK22">
        <v>6.4</v>
      </c>
      <c r="BL22">
        <v>5.9</v>
      </c>
      <c r="BM22">
        <v>6.4</v>
      </c>
    </row>
    <row r="23" spans="7:65" hidden="1" x14ac:dyDescent="0.2">
      <c r="G23" t="s">
        <v>39</v>
      </c>
      <c r="H23">
        <v>3.65</v>
      </c>
      <c r="I23">
        <v>3.65</v>
      </c>
      <c r="J23">
        <v>3.85</v>
      </c>
      <c r="K23">
        <v>3.85</v>
      </c>
      <c r="L23">
        <v>4.05</v>
      </c>
      <c r="M23">
        <v>4.05</v>
      </c>
      <c r="N23">
        <v>4.25</v>
      </c>
      <c r="O23">
        <v>4.25</v>
      </c>
      <c r="Q23" t="s">
        <v>39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A23" t="s">
        <v>39</v>
      </c>
      <c r="AB23">
        <v>4.95</v>
      </c>
      <c r="AC23">
        <v>5.35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L23">
        <v>4.5</v>
      </c>
      <c r="AM23">
        <v>5.2</v>
      </c>
      <c r="AN23">
        <v>4.8</v>
      </c>
      <c r="AO23">
        <v>5.3</v>
      </c>
      <c r="AP23">
        <v>5</v>
      </c>
      <c r="AQ23">
        <v>5.4</v>
      </c>
      <c r="AR23">
        <v>5</v>
      </c>
      <c r="AS23">
        <f t="shared" si="0"/>
        <v>5.5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  <c r="BF23">
        <v>5.3</v>
      </c>
      <c r="BG23">
        <v>5.9</v>
      </c>
      <c r="BH23">
        <v>5.3</v>
      </c>
      <c r="BI23">
        <v>5.9</v>
      </c>
      <c r="BJ23">
        <v>5.3</v>
      </c>
      <c r="BK23">
        <v>6</v>
      </c>
      <c r="BL23">
        <v>5.5</v>
      </c>
      <c r="BM23">
        <v>6</v>
      </c>
    </row>
    <row r="24" spans="7:65" hidden="1" x14ac:dyDescent="0.2">
      <c r="G24" t="s">
        <v>162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162</v>
      </c>
      <c r="AA24" t="s">
        <v>162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7.15</v>
      </c>
      <c r="AI24">
        <v>7.6</v>
      </c>
      <c r="AK24" t="s">
        <v>162</v>
      </c>
      <c r="AL24">
        <v>6.4</v>
      </c>
      <c r="AM24">
        <v>7.2</v>
      </c>
      <c r="AN24">
        <v>6.8</v>
      </c>
      <c r="AO24">
        <v>7.5</v>
      </c>
      <c r="AP24">
        <v>6.8</v>
      </c>
      <c r="AQ24">
        <v>7.5</v>
      </c>
      <c r="AR24">
        <v>7</v>
      </c>
      <c r="AS24">
        <v>7.6</v>
      </c>
      <c r="AU24" t="s">
        <v>162</v>
      </c>
      <c r="AV24">
        <v>7.7</v>
      </c>
      <c r="AW24">
        <v>8.15</v>
      </c>
      <c r="AX24">
        <v>7.85</v>
      </c>
      <c r="AY24">
        <v>8.3000000000000007</v>
      </c>
      <c r="AZ24">
        <v>7.95</v>
      </c>
      <c r="BA24">
        <v>8.4499999999999993</v>
      </c>
      <c r="BB24">
        <v>8.1</v>
      </c>
      <c r="BC24">
        <v>8.6</v>
      </c>
      <c r="BE24" t="s">
        <v>162</v>
      </c>
      <c r="BF24">
        <v>7.6</v>
      </c>
      <c r="BG24">
        <v>8.15</v>
      </c>
      <c r="BH24">
        <v>7.3</v>
      </c>
      <c r="BI24">
        <v>8</v>
      </c>
      <c r="BJ24">
        <v>7.4</v>
      </c>
      <c r="BK24">
        <v>8.1</v>
      </c>
      <c r="BL24">
        <v>7.4</v>
      </c>
      <c r="BM24">
        <v>8.1999999999999993</v>
      </c>
    </row>
    <row r="25" spans="7:65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L25">
        <v>6.1</v>
      </c>
      <c r="AM25">
        <v>6.8</v>
      </c>
      <c r="AN25">
        <v>6.4</v>
      </c>
      <c r="AO25">
        <v>7.1</v>
      </c>
      <c r="AP25">
        <v>6.4</v>
      </c>
      <c r="AQ25">
        <v>7.1</v>
      </c>
      <c r="AR25">
        <v>6.5</v>
      </c>
      <c r="AS25">
        <f t="shared" si="0"/>
        <v>7.1999999999999993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  <c r="BF25">
        <v>7.1</v>
      </c>
      <c r="BG25">
        <v>7.7</v>
      </c>
      <c r="BH25">
        <v>7</v>
      </c>
      <c r="BI25">
        <v>7.7</v>
      </c>
      <c r="BJ25">
        <v>7</v>
      </c>
      <c r="BK25">
        <v>7.8</v>
      </c>
      <c r="BL25">
        <v>7.1</v>
      </c>
      <c r="BM25">
        <v>7.8</v>
      </c>
    </row>
    <row r="26" spans="7:65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L26">
        <v>5.7</v>
      </c>
      <c r="AM26">
        <v>6.4</v>
      </c>
      <c r="AN26">
        <v>6.1</v>
      </c>
      <c r="AO26">
        <v>6.7</v>
      </c>
      <c r="AP26">
        <v>6.1</v>
      </c>
      <c r="AQ26">
        <v>6.7</v>
      </c>
      <c r="AR26">
        <v>6.2</v>
      </c>
      <c r="AS26">
        <f t="shared" si="0"/>
        <v>6.8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  <c r="BF26">
        <v>6.6</v>
      </c>
      <c r="BG26">
        <v>7.3</v>
      </c>
      <c r="BH26">
        <v>6.6</v>
      </c>
      <c r="BI26">
        <v>7.4</v>
      </c>
      <c r="BJ26">
        <v>6.7</v>
      </c>
      <c r="BK26">
        <v>7.5</v>
      </c>
      <c r="BL26">
        <v>6.8</v>
      </c>
      <c r="BM26">
        <v>7.5</v>
      </c>
    </row>
    <row r="27" spans="7:65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L27">
        <v>5.5</v>
      </c>
      <c r="AM27">
        <v>6.1</v>
      </c>
      <c r="AN27">
        <v>5.8</v>
      </c>
      <c r="AO27">
        <v>6.4</v>
      </c>
      <c r="AP27">
        <v>5.8</v>
      </c>
      <c r="AQ27">
        <v>6.4</v>
      </c>
      <c r="AR27">
        <v>5.9</v>
      </c>
      <c r="AS27">
        <f t="shared" si="0"/>
        <v>6.5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  <c r="BF27">
        <v>6.4</v>
      </c>
      <c r="BG27">
        <v>7</v>
      </c>
      <c r="BH27">
        <v>6.4</v>
      </c>
      <c r="BI27">
        <v>7.1</v>
      </c>
      <c r="BJ27">
        <v>6.5</v>
      </c>
      <c r="BK27">
        <v>7.2</v>
      </c>
      <c r="BL27">
        <v>6.6</v>
      </c>
      <c r="BM27">
        <v>7.2</v>
      </c>
    </row>
    <row r="28" spans="7:65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L28">
        <v>5.3</v>
      </c>
      <c r="AM28">
        <v>5.9</v>
      </c>
      <c r="AN28">
        <v>5.6</v>
      </c>
      <c r="AO28">
        <v>6.2</v>
      </c>
      <c r="AP28">
        <v>5.6</v>
      </c>
      <c r="AQ28">
        <v>6.2</v>
      </c>
      <c r="AR28">
        <v>5.7</v>
      </c>
      <c r="AS28">
        <f t="shared" si="0"/>
        <v>6.3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  <c r="BF28">
        <v>6.1</v>
      </c>
      <c r="BG28">
        <v>6.7</v>
      </c>
      <c r="BH28">
        <v>6.2</v>
      </c>
      <c r="BI28">
        <v>6.8</v>
      </c>
      <c r="BJ28">
        <v>6.3</v>
      </c>
      <c r="BK28">
        <v>6.9</v>
      </c>
      <c r="BL28">
        <v>6.4</v>
      </c>
      <c r="BM28">
        <v>6.9</v>
      </c>
    </row>
    <row r="29" spans="7:65" ht="12" hidden="1" customHeight="1" x14ac:dyDescent="0.2">
      <c r="G29" t="s">
        <v>81</v>
      </c>
      <c r="H29">
        <v>4.05</v>
      </c>
      <c r="I29">
        <v>4.05</v>
      </c>
      <c r="J29">
        <v>4.3</v>
      </c>
      <c r="K29">
        <v>4.3</v>
      </c>
      <c r="L29">
        <v>4.5</v>
      </c>
      <c r="M29">
        <v>4.5</v>
      </c>
      <c r="N29">
        <v>4.7</v>
      </c>
      <c r="O29">
        <v>4.7</v>
      </c>
      <c r="Q29" t="s">
        <v>81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A29" t="s">
        <v>81</v>
      </c>
      <c r="AB29">
        <v>5.25</v>
      </c>
      <c r="AC29">
        <v>5.5</v>
      </c>
      <c r="AD29">
        <v>5.6</v>
      </c>
      <c r="AE29">
        <f t="shared" ref="AE29:AI29" si="2">+(AE28+AE30)/2</f>
        <v>6.05</v>
      </c>
      <c r="AF29">
        <f t="shared" si="2"/>
        <v>5.75</v>
      </c>
      <c r="AG29">
        <v>6.2</v>
      </c>
      <c r="AH29">
        <f t="shared" si="2"/>
        <v>5.9</v>
      </c>
      <c r="AI29">
        <f t="shared" si="2"/>
        <v>6.4</v>
      </c>
      <c r="AK29" t="s">
        <v>81</v>
      </c>
      <c r="AL29">
        <v>5.0999999999999996</v>
      </c>
      <c r="AM29">
        <v>5.7</v>
      </c>
      <c r="AN29">
        <v>5.4</v>
      </c>
      <c r="AO29">
        <v>6</v>
      </c>
      <c r="AP29">
        <v>5.4</v>
      </c>
      <c r="AQ29">
        <v>6</v>
      </c>
      <c r="AR29">
        <v>5.5</v>
      </c>
      <c r="AS29">
        <f t="shared" si="0"/>
        <v>6.1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  <c r="BF29">
        <v>5.9</v>
      </c>
      <c r="BG29">
        <v>6.5</v>
      </c>
      <c r="BH29">
        <v>5.9</v>
      </c>
      <c r="BI29">
        <v>6.5</v>
      </c>
      <c r="BJ29">
        <v>6</v>
      </c>
      <c r="BK29">
        <v>6.6</v>
      </c>
      <c r="BL29">
        <v>6.1</v>
      </c>
      <c r="BM29">
        <v>6.6</v>
      </c>
    </row>
    <row r="30" spans="7:65" hidden="1" x14ac:dyDescent="0.2">
      <c r="G30" t="s">
        <v>44</v>
      </c>
      <c r="H30">
        <v>3.6</v>
      </c>
      <c r="I30">
        <v>3.6</v>
      </c>
      <c r="J30">
        <v>3.8</v>
      </c>
      <c r="K30">
        <v>3.8</v>
      </c>
      <c r="L30">
        <v>4</v>
      </c>
      <c r="M30">
        <v>4</v>
      </c>
      <c r="N30">
        <v>4.2</v>
      </c>
      <c r="O30">
        <v>4.2</v>
      </c>
      <c r="Q30" t="s">
        <v>44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L30">
        <v>4.7</v>
      </c>
      <c r="AM30">
        <v>5.2</v>
      </c>
      <c r="AN30">
        <v>5</v>
      </c>
      <c r="AO30">
        <v>5.5</v>
      </c>
      <c r="AP30">
        <v>5</v>
      </c>
      <c r="AQ30">
        <v>5.5</v>
      </c>
      <c r="AR30">
        <v>5.0999999999999996</v>
      </c>
      <c r="AS30">
        <f t="shared" si="0"/>
        <v>5.6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  <c r="BF30">
        <v>5.5</v>
      </c>
      <c r="BG30">
        <v>6.1</v>
      </c>
      <c r="BH30">
        <v>5.5</v>
      </c>
      <c r="BI30">
        <v>6.2</v>
      </c>
      <c r="BJ30">
        <v>5.6</v>
      </c>
      <c r="BK30">
        <v>6.3</v>
      </c>
      <c r="BL30">
        <v>5.7</v>
      </c>
      <c r="BM30">
        <v>6.3</v>
      </c>
    </row>
    <row r="31" spans="7:65" hidden="1" x14ac:dyDescent="0.2">
      <c r="G31" t="s">
        <v>67</v>
      </c>
      <c r="H31">
        <v>3.2</v>
      </c>
      <c r="I31">
        <v>3.2</v>
      </c>
      <c r="J31">
        <v>3.4</v>
      </c>
      <c r="K31">
        <v>3.4</v>
      </c>
      <c r="L31">
        <v>3.6</v>
      </c>
      <c r="M31">
        <v>3.6</v>
      </c>
      <c r="N31">
        <v>3.8</v>
      </c>
      <c r="O31">
        <v>3.8</v>
      </c>
      <c r="Q31" t="s">
        <v>67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A31" t="s">
        <v>67</v>
      </c>
      <c r="AB31">
        <v>4.75</v>
      </c>
      <c r="AC31">
        <v>4.75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L31">
        <v>4.4000000000000004</v>
      </c>
      <c r="AM31">
        <v>5</v>
      </c>
      <c r="AN31">
        <v>4.7</v>
      </c>
      <c r="AO31">
        <v>5.2</v>
      </c>
      <c r="AP31">
        <v>4.7</v>
      </c>
      <c r="AQ31">
        <v>5.2</v>
      </c>
      <c r="AR31">
        <v>4.8</v>
      </c>
      <c r="AS31">
        <f t="shared" si="0"/>
        <v>5.3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  <c r="BF31">
        <v>5.2</v>
      </c>
      <c r="BG31">
        <v>5.7</v>
      </c>
      <c r="BH31">
        <v>5.3</v>
      </c>
      <c r="BI31">
        <v>5.8</v>
      </c>
      <c r="BJ31">
        <v>5.4</v>
      </c>
      <c r="BK31">
        <v>5.9</v>
      </c>
      <c r="BL31">
        <v>5.5</v>
      </c>
      <c r="BM31">
        <v>5.9</v>
      </c>
    </row>
    <row r="32" spans="7:65" hidden="1" x14ac:dyDescent="0.2">
      <c r="G32" t="s">
        <v>163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163</v>
      </c>
      <c r="AA32" t="s">
        <v>163</v>
      </c>
      <c r="AB32">
        <v>5.9</v>
      </c>
      <c r="AC32">
        <v>6.15</v>
      </c>
      <c r="AD32">
        <v>6.3</v>
      </c>
      <c r="AE32">
        <v>6.55</v>
      </c>
      <c r="AF32">
        <v>6.4450000000000003</v>
      </c>
      <c r="AG32">
        <v>6.7</v>
      </c>
      <c r="AH32">
        <v>6.6</v>
      </c>
      <c r="AI32">
        <v>6.85</v>
      </c>
      <c r="AK32" t="s">
        <v>163</v>
      </c>
      <c r="AL32">
        <v>5.9</v>
      </c>
      <c r="AM32">
        <v>6.6</v>
      </c>
      <c r="AN32">
        <v>6.2</v>
      </c>
      <c r="AO32">
        <v>6.9</v>
      </c>
      <c r="AP32">
        <v>6.3</v>
      </c>
      <c r="AQ32">
        <v>7</v>
      </c>
      <c r="AR32">
        <v>6.4</v>
      </c>
      <c r="AS32">
        <f t="shared" si="0"/>
        <v>7.1</v>
      </c>
      <c r="AU32" t="s">
        <v>163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7.45</v>
      </c>
      <c r="BC32">
        <v>7.8</v>
      </c>
      <c r="BE32" t="s">
        <v>163</v>
      </c>
      <c r="BF32">
        <v>6.8</v>
      </c>
      <c r="BG32">
        <v>7.35</v>
      </c>
      <c r="BH32">
        <v>6.8</v>
      </c>
      <c r="BI32">
        <v>7.55</v>
      </c>
      <c r="BJ32">
        <v>6.9</v>
      </c>
      <c r="BK32">
        <v>7.6</v>
      </c>
      <c r="BL32">
        <v>6.9</v>
      </c>
      <c r="BM32">
        <v>7.6</v>
      </c>
    </row>
    <row r="33" spans="2:65" hidden="1" x14ac:dyDescent="0.2">
      <c r="G33" t="s">
        <v>50</v>
      </c>
      <c r="H33">
        <v>4.25</v>
      </c>
      <c r="I33">
        <v>4.25</v>
      </c>
      <c r="J33">
        <v>4.45</v>
      </c>
      <c r="K33">
        <v>4.45</v>
      </c>
      <c r="L33">
        <v>4.7</v>
      </c>
      <c r="M33">
        <v>4.7</v>
      </c>
      <c r="N33">
        <v>4.9000000000000004</v>
      </c>
      <c r="O33">
        <v>4.9000000000000004</v>
      </c>
      <c r="Q33" t="s">
        <v>50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L33">
        <v>5.5</v>
      </c>
      <c r="AM33">
        <v>6.2</v>
      </c>
      <c r="AN33">
        <v>5.9</v>
      </c>
      <c r="AO33">
        <v>6.6</v>
      </c>
      <c r="AP33">
        <v>6</v>
      </c>
      <c r="AQ33">
        <v>6.6</v>
      </c>
      <c r="AR33">
        <v>6.1</v>
      </c>
      <c r="AS33">
        <f t="shared" si="0"/>
        <v>6.6999999999999993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  <c r="BF33">
        <v>6.5</v>
      </c>
      <c r="BG33">
        <v>7.2</v>
      </c>
      <c r="BH33">
        <v>6.5</v>
      </c>
      <c r="BI33">
        <v>7.2</v>
      </c>
      <c r="BJ33">
        <v>6.6</v>
      </c>
      <c r="BK33">
        <v>7.3</v>
      </c>
      <c r="BL33">
        <v>6.7</v>
      </c>
      <c r="BM33">
        <v>7.3</v>
      </c>
    </row>
    <row r="34" spans="2:65" hidden="1" x14ac:dyDescent="0.2">
      <c r="G34" t="s">
        <v>76</v>
      </c>
      <c r="H34">
        <v>4</v>
      </c>
      <c r="I34">
        <v>4</v>
      </c>
      <c r="J34">
        <v>4.2</v>
      </c>
      <c r="K34">
        <v>4.2</v>
      </c>
      <c r="L34">
        <v>4.4000000000000004</v>
      </c>
      <c r="M34">
        <v>4.4000000000000004</v>
      </c>
      <c r="N34">
        <v>4.5999999999999996</v>
      </c>
      <c r="O34">
        <v>4.5999999999999996</v>
      </c>
      <c r="Q34" t="s">
        <v>76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L34">
        <v>5.3</v>
      </c>
      <c r="AM34">
        <v>6</v>
      </c>
      <c r="AN34">
        <v>5.7</v>
      </c>
      <c r="AO34">
        <v>6.4</v>
      </c>
      <c r="AP34">
        <v>5.7</v>
      </c>
      <c r="AQ34">
        <v>6.4</v>
      </c>
      <c r="AR34">
        <v>5.8</v>
      </c>
      <c r="AS34">
        <f t="shared" si="0"/>
        <v>6.5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  <c r="BF34">
        <v>6.2</v>
      </c>
      <c r="BG34">
        <v>6.9</v>
      </c>
      <c r="BH34">
        <v>6.2</v>
      </c>
      <c r="BI34">
        <v>6.9</v>
      </c>
      <c r="BJ34">
        <v>6.3</v>
      </c>
      <c r="BK34">
        <v>7</v>
      </c>
      <c r="BL34">
        <v>6.4</v>
      </c>
      <c r="BM34">
        <v>7</v>
      </c>
    </row>
    <row r="35" spans="2:65" hidden="1" x14ac:dyDescent="0.2">
      <c r="G35" t="s">
        <v>77</v>
      </c>
      <c r="H35">
        <v>3.75</v>
      </c>
      <c r="I35">
        <v>3.75</v>
      </c>
      <c r="J35">
        <v>3.95</v>
      </c>
      <c r="K35">
        <v>3.95</v>
      </c>
      <c r="L35">
        <v>4.1500000000000004</v>
      </c>
      <c r="M35">
        <v>4.1500000000000004</v>
      </c>
      <c r="N35">
        <v>4.3499999999999996</v>
      </c>
      <c r="O35">
        <v>4.3499999999999996</v>
      </c>
      <c r="Q35" t="s">
        <v>77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AA35" t="s">
        <v>77</v>
      </c>
      <c r="AB35">
        <v>5.35</v>
      </c>
      <c r="AC35">
        <v>5.45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L35">
        <v>5</v>
      </c>
      <c r="AM35">
        <v>5.7</v>
      </c>
      <c r="AN35">
        <v>5.4</v>
      </c>
      <c r="AO35">
        <v>6</v>
      </c>
      <c r="AP35">
        <v>5.4</v>
      </c>
      <c r="AQ35">
        <v>6</v>
      </c>
      <c r="AR35">
        <v>5.5</v>
      </c>
      <c r="AS35">
        <f t="shared" si="0"/>
        <v>6.1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  <c r="BF35">
        <v>6</v>
      </c>
      <c r="BG35">
        <v>6.6</v>
      </c>
      <c r="BH35">
        <v>6</v>
      </c>
      <c r="BI35">
        <v>6.6</v>
      </c>
      <c r="BJ35">
        <v>6.1</v>
      </c>
      <c r="BK35">
        <v>6.7</v>
      </c>
      <c r="BL35">
        <v>6.2</v>
      </c>
      <c r="BM35">
        <v>6.7</v>
      </c>
    </row>
    <row r="36" spans="2:65" hidden="1" x14ac:dyDescent="0.2">
      <c r="G36" t="s">
        <v>46</v>
      </c>
      <c r="H36">
        <v>3.55</v>
      </c>
      <c r="I36">
        <v>3.55</v>
      </c>
      <c r="J36">
        <v>3.75</v>
      </c>
      <c r="K36">
        <v>3.75</v>
      </c>
      <c r="L36">
        <v>3.95</v>
      </c>
      <c r="M36">
        <v>3.95</v>
      </c>
      <c r="N36">
        <v>4.1500000000000004</v>
      </c>
      <c r="O36">
        <v>4.1500000000000004</v>
      </c>
      <c r="Q36" t="s">
        <v>46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AA36" t="s">
        <v>46</v>
      </c>
      <c r="AB36">
        <v>5.15</v>
      </c>
      <c r="AC36">
        <v>5.15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L36">
        <v>4.8</v>
      </c>
      <c r="AM36">
        <v>5.4</v>
      </c>
      <c r="AN36">
        <v>5.2</v>
      </c>
      <c r="AO36">
        <v>5.7</v>
      </c>
      <c r="AP36">
        <v>5.2</v>
      </c>
      <c r="AQ36">
        <v>5.7</v>
      </c>
      <c r="AR36">
        <v>5.3</v>
      </c>
      <c r="AS36">
        <f t="shared" si="0"/>
        <v>5.8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  <c r="BF36">
        <v>5.8</v>
      </c>
      <c r="BG36">
        <v>6.4</v>
      </c>
      <c r="BH36">
        <v>5.8</v>
      </c>
      <c r="BI36">
        <v>6.4</v>
      </c>
      <c r="BJ36">
        <v>5.9</v>
      </c>
      <c r="BK36">
        <v>6.5</v>
      </c>
      <c r="BL36">
        <v>6</v>
      </c>
      <c r="BM36">
        <v>6.5</v>
      </c>
    </row>
    <row r="37" spans="2:65" hidden="1" x14ac:dyDescent="0.2">
      <c r="G37" t="s">
        <v>82</v>
      </c>
      <c r="H37">
        <v>3.25</v>
      </c>
      <c r="I37">
        <v>3.25</v>
      </c>
      <c r="J37">
        <v>3.45</v>
      </c>
      <c r="K37">
        <v>3.45</v>
      </c>
      <c r="L37">
        <v>3.65</v>
      </c>
      <c r="M37">
        <v>3.65</v>
      </c>
      <c r="N37">
        <v>3.85</v>
      </c>
      <c r="O37">
        <v>3.85</v>
      </c>
      <c r="Q37" t="s">
        <v>82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AA37" t="s">
        <v>82</v>
      </c>
      <c r="AB37">
        <f t="shared" ref="AB37:AD37" si="3">+(AB36+AB38)/2</f>
        <v>4.8000000000000007</v>
      </c>
      <c r="AC37">
        <f t="shared" si="3"/>
        <v>4.8000000000000007</v>
      </c>
      <c r="AD37">
        <f t="shared" si="3"/>
        <v>5.3</v>
      </c>
      <c r="AE37">
        <v>5.5</v>
      </c>
      <c r="AF37">
        <f t="shared" ref="AF37:AH37" si="4">+(AF36+AF38)/2</f>
        <v>5.45</v>
      </c>
      <c r="AG37">
        <f t="shared" si="4"/>
        <v>5.8</v>
      </c>
      <c r="AH37">
        <f t="shared" si="4"/>
        <v>5.6</v>
      </c>
      <c r="AI37">
        <v>5.95</v>
      </c>
      <c r="AK37" t="s">
        <v>82</v>
      </c>
      <c r="AL37">
        <v>4.5999999999999996</v>
      </c>
      <c r="AM37">
        <v>5.3</v>
      </c>
      <c r="AN37">
        <v>5.0999999999999996</v>
      </c>
      <c r="AO37">
        <v>5.6</v>
      </c>
      <c r="AP37">
        <v>5.0999999999999996</v>
      </c>
      <c r="AQ37">
        <v>5.6</v>
      </c>
      <c r="AR37">
        <v>5.2</v>
      </c>
      <c r="AS37">
        <f t="shared" si="0"/>
        <v>5.6999999999999993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  <c r="BF37">
        <v>5.6</v>
      </c>
      <c r="BG37">
        <v>6.2</v>
      </c>
      <c r="BH37">
        <v>5.6</v>
      </c>
      <c r="BI37">
        <v>6.2</v>
      </c>
      <c r="BJ37">
        <v>5.7</v>
      </c>
      <c r="BK37">
        <v>6.3</v>
      </c>
      <c r="BL37">
        <v>5.8</v>
      </c>
      <c r="BM37">
        <v>6.3</v>
      </c>
    </row>
    <row r="38" spans="2:65" hidden="1" x14ac:dyDescent="0.2">
      <c r="G38" t="s">
        <v>45</v>
      </c>
      <c r="H38">
        <v>3</v>
      </c>
      <c r="I38">
        <v>3</v>
      </c>
      <c r="J38">
        <v>3.2</v>
      </c>
      <c r="K38">
        <v>3.2</v>
      </c>
      <c r="L38">
        <v>3.4</v>
      </c>
      <c r="M38">
        <v>3.4</v>
      </c>
      <c r="N38">
        <v>3.55</v>
      </c>
      <c r="O38">
        <v>3.55</v>
      </c>
      <c r="Q38" t="s">
        <v>45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AA38" t="s">
        <v>45</v>
      </c>
      <c r="AB38">
        <v>4.45</v>
      </c>
      <c r="AC38">
        <v>4.45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4.4000000000000004</v>
      </c>
      <c r="AM38">
        <v>4.9000000000000004</v>
      </c>
      <c r="AN38">
        <v>4.7</v>
      </c>
      <c r="AO38">
        <v>5.2</v>
      </c>
      <c r="AP38">
        <v>4.7</v>
      </c>
      <c r="AQ38">
        <v>5.2</v>
      </c>
      <c r="AR38">
        <v>4.8</v>
      </c>
      <c r="AS38">
        <f t="shared" si="0"/>
        <v>5.3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  <c r="BF38">
        <v>5.2</v>
      </c>
      <c r="BG38">
        <v>5.8</v>
      </c>
      <c r="BH38">
        <v>5.2</v>
      </c>
      <c r="BI38">
        <v>5.8</v>
      </c>
      <c r="BJ38">
        <v>5.4</v>
      </c>
      <c r="BK38">
        <v>6.2</v>
      </c>
      <c r="BL38">
        <v>5.5</v>
      </c>
      <c r="BM38">
        <v>6.2</v>
      </c>
    </row>
    <row r="39" spans="2:65" hidden="1" x14ac:dyDescent="0.2">
      <c r="G39" t="s">
        <v>68</v>
      </c>
      <c r="H39">
        <v>2.75</v>
      </c>
      <c r="I39">
        <v>2.75</v>
      </c>
      <c r="J39">
        <v>2.9</v>
      </c>
      <c r="K39">
        <v>2.9</v>
      </c>
      <c r="L39">
        <v>3.1</v>
      </c>
      <c r="M39">
        <v>3.1</v>
      </c>
      <c r="N39">
        <v>3.25</v>
      </c>
      <c r="O39">
        <v>3.25</v>
      </c>
      <c r="Q39" t="s">
        <v>68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AA39" t="s">
        <v>68</v>
      </c>
      <c r="AB39">
        <v>4.05</v>
      </c>
      <c r="AC39">
        <v>4.05</v>
      </c>
      <c r="AD39">
        <v>4.9000000000000004</v>
      </c>
      <c r="AE39">
        <v>5.25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L39">
        <v>4.2</v>
      </c>
      <c r="AM39">
        <v>4.7</v>
      </c>
      <c r="AN39">
        <v>4.5</v>
      </c>
      <c r="AO39">
        <v>5</v>
      </c>
      <c r="AP39">
        <v>4.5</v>
      </c>
      <c r="AQ39">
        <v>5</v>
      </c>
      <c r="AR39">
        <v>4.7</v>
      </c>
      <c r="AS39">
        <f t="shared" si="0"/>
        <v>5.0999999999999996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  <c r="BF39">
        <v>5</v>
      </c>
      <c r="BG39">
        <v>5.5</v>
      </c>
      <c r="BH39">
        <v>5</v>
      </c>
      <c r="BI39">
        <v>5.5</v>
      </c>
      <c r="BJ39">
        <v>5.2</v>
      </c>
      <c r="BK39">
        <v>5.8</v>
      </c>
      <c r="BL39">
        <v>5.3</v>
      </c>
      <c r="BM39">
        <v>5.8</v>
      </c>
    </row>
    <row r="40" spans="2:65" hidden="1" x14ac:dyDescent="0.2">
      <c r="G40" t="s">
        <v>71</v>
      </c>
      <c r="H40" s="236">
        <v>188</v>
      </c>
      <c r="I40" s="236"/>
      <c r="J40" s="236">
        <v>211</v>
      </c>
      <c r="K40" s="236"/>
      <c r="L40" s="236">
        <v>235</v>
      </c>
      <c r="M40" s="236"/>
      <c r="N40" s="236">
        <v>257</v>
      </c>
      <c r="O40" s="236"/>
      <c r="R40" s="236"/>
      <c r="S40" s="236"/>
      <c r="T40" s="236"/>
      <c r="U40" s="236"/>
      <c r="V40" s="236"/>
      <c r="W40" s="236"/>
      <c r="X40" s="236"/>
      <c r="Y40" s="236"/>
      <c r="AB40" s="236">
        <v>211</v>
      </c>
      <c r="AC40" s="236"/>
      <c r="AD40" s="236">
        <v>233</v>
      </c>
      <c r="AE40" s="236"/>
      <c r="AF40" s="236">
        <v>256</v>
      </c>
      <c r="AG40" s="236"/>
      <c r="AH40" s="236">
        <v>279</v>
      </c>
      <c r="AI40" s="236"/>
      <c r="AL40" s="236">
        <v>211</v>
      </c>
      <c r="AM40" s="236"/>
      <c r="AN40" s="236">
        <v>233</v>
      </c>
      <c r="AO40" s="236"/>
      <c r="AP40" s="236">
        <v>256</v>
      </c>
      <c r="AQ40" s="236"/>
      <c r="AR40" s="236">
        <v>279</v>
      </c>
      <c r="AS40" s="236"/>
      <c r="AV40" s="236">
        <v>272</v>
      </c>
      <c r="AW40" s="236"/>
      <c r="AX40" s="236">
        <v>295</v>
      </c>
      <c r="AY40" s="236"/>
      <c r="AZ40" s="236">
        <v>318</v>
      </c>
      <c r="BA40" s="236"/>
      <c r="BB40" s="236">
        <v>341</v>
      </c>
      <c r="BC40" s="236"/>
      <c r="BF40" s="236">
        <v>272</v>
      </c>
      <c r="BG40" s="236"/>
      <c r="BH40" s="236">
        <v>295</v>
      </c>
      <c r="BI40" s="236"/>
      <c r="BJ40" s="236">
        <v>318</v>
      </c>
      <c r="BK40" s="236"/>
      <c r="BL40" s="236">
        <v>341</v>
      </c>
      <c r="BM40" s="236"/>
    </row>
    <row r="41" spans="2:65" hidden="1" x14ac:dyDescent="0.2">
      <c r="G41" t="s">
        <v>72</v>
      </c>
      <c r="H41" s="236">
        <v>62.5</v>
      </c>
      <c r="I41" s="236"/>
      <c r="J41" s="236">
        <v>72.5</v>
      </c>
      <c r="K41" s="236"/>
      <c r="L41" s="236">
        <v>82.5</v>
      </c>
      <c r="M41" s="236"/>
      <c r="N41" s="236">
        <v>92.5</v>
      </c>
      <c r="O41" s="236"/>
      <c r="R41" s="236"/>
      <c r="S41" s="236"/>
      <c r="T41" s="236"/>
      <c r="U41" s="236"/>
      <c r="V41" s="236"/>
      <c r="W41" s="236"/>
      <c r="X41" s="236"/>
      <c r="Y41" s="236"/>
      <c r="AB41" s="236">
        <v>70</v>
      </c>
      <c r="AC41" s="236"/>
      <c r="AD41" s="236">
        <v>76</v>
      </c>
      <c r="AE41" s="236"/>
      <c r="AF41" s="236">
        <v>85</v>
      </c>
      <c r="AG41" s="236"/>
      <c r="AH41" s="236">
        <v>94.5</v>
      </c>
      <c r="AI41" s="236"/>
      <c r="AL41" s="236">
        <v>70</v>
      </c>
      <c r="AM41" s="236"/>
      <c r="AN41" s="236">
        <v>76</v>
      </c>
      <c r="AO41" s="236"/>
      <c r="AP41" s="236">
        <v>85</v>
      </c>
      <c r="AQ41" s="236"/>
      <c r="AR41" s="236">
        <v>94.5</v>
      </c>
      <c r="AS41" s="236"/>
      <c r="AV41" s="236">
        <v>86</v>
      </c>
      <c r="AW41" s="236"/>
      <c r="AX41" s="236">
        <v>96</v>
      </c>
      <c r="AY41" s="236"/>
      <c r="AZ41" s="236">
        <v>106</v>
      </c>
      <c r="BA41" s="236"/>
      <c r="BB41" s="236">
        <v>116</v>
      </c>
      <c r="BC41" s="236"/>
      <c r="BF41" s="236">
        <v>86</v>
      </c>
      <c r="BG41" s="236"/>
      <c r="BH41" s="236">
        <v>96</v>
      </c>
      <c r="BI41" s="236"/>
      <c r="BJ41" s="236">
        <v>106</v>
      </c>
      <c r="BK41" s="236"/>
      <c r="BL41" s="236">
        <v>116</v>
      </c>
      <c r="BM41" s="236"/>
    </row>
    <row r="42" spans="2:65" hidden="1" x14ac:dyDescent="0.2">
      <c r="E42" t="s">
        <v>49</v>
      </c>
      <c r="G42" t="str">
        <f>+DIM!$AK$20&amp;"+"&amp;DIM!$S$14</f>
        <v>251+250</v>
      </c>
      <c r="H42" s="100">
        <f>+VLOOKUP($G$42,$G$16:$O$39,2,FALSE)</f>
        <v>4.3499999999999996</v>
      </c>
      <c r="I42" s="100">
        <f>+VLOOKUP($G$42,$G$16:$O$39,3,FALSE)</f>
        <v>4.3499999999999996</v>
      </c>
      <c r="J42" s="100">
        <f>+VLOOKUP($G$42,$G$16:$O$39,4,FALSE)</f>
        <v>4.55</v>
      </c>
      <c r="K42" s="100">
        <f>+VLOOKUP($G$42,$G$16:$O$39,5,FALSE)</f>
        <v>4.55</v>
      </c>
      <c r="L42" s="100">
        <f>+VLOOKUP($G$42,$G$16:$O$39,6,FALSE)</f>
        <v>4.8</v>
      </c>
      <c r="M42" s="100">
        <f>+VLOOKUP($G$42,$G$16:$O$39,7,FALSE)</f>
        <v>4.8</v>
      </c>
      <c r="N42" s="100">
        <f>+VLOOKUP($G$42,$G$16:$O$39,8,FALSE)</f>
        <v>5</v>
      </c>
      <c r="O42" s="100">
        <f>+VLOOKUP($G$42,$G$16:$O$39,9,FALSE)</f>
        <v>5</v>
      </c>
      <c r="Q42" t="str">
        <f>+DIM!$AK$20&amp;"+"&amp;DIM!$S$14</f>
        <v>251+250</v>
      </c>
      <c r="R42" s="100">
        <f>+VLOOKUP($Q$42,$Q$14:$Y$39,2,FALSE)</f>
        <v>0</v>
      </c>
      <c r="S42" s="100">
        <f>+VLOOKUP($Q$42,$Q$14:$Y$39,3,FALSE)</f>
        <v>0</v>
      </c>
      <c r="T42" s="100">
        <f>+VLOOKUP($Q$42,$Q$14:$Y$39,4,FALSE)</f>
        <v>0</v>
      </c>
      <c r="U42" s="100">
        <f>+VLOOKUP($Q$42,$Q$14:$Y$39,5,FALSE)</f>
        <v>0</v>
      </c>
      <c r="V42" s="100">
        <f>+VLOOKUP($Q$42,$Q$14:$Y$39,6,FALSE)</f>
        <v>0</v>
      </c>
      <c r="W42" s="100">
        <f>+VLOOKUP($Q$42,$Q$14:$Y$39,7,FALSE)</f>
        <v>0</v>
      </c>
      <c r="X42" s="100">
        <f>+VLOOKUP($Q$42,$Q$14:$Y$39,8,FALSE)</f>
        <v>0</v>
      </c>
      <c r="Y42" s="100">
        <f>+VLOOKUP($Q$42,$Q$14:$Y$39,9,FALSE)</f>
        <v>0</v>
      </c>
      <c r="AA42" t="str">
        <f>+DIM!$AK$20&amp;"+"&amp;DIM!$S$14</f>
        <v>251+250</v>
      </c>
      <c r="AB42" s="100">
        <f>+VLOOKUP($AA$42,$AA$16:$AI$41,2,FALSE)</f>
        <v>5.55</v>
      </c>
      <c r="AC42" s="100">
        <f>+VLOOKUP($AA$42,$AA$16:$AI$41,3,FALSE)</f>
        <v>5.95</v>
      </c>
      <c r="AD42" s="100">
        <f>+VLOOKUP($AA$42,$AA$16:$AI$41,4,FALSE)</f>
        <v>5.9</v>
      </c>
      <c r="AE42" s="100">
        <f>+VLOOKUP($AA$42,$AA$16:$AI$41,5,FALSE)</f>
        <v>6.3</v>
      </c>
      <c r="AF42" s="100">
        <f>+VLOOKUP($AA$42,$AA$16:$AI$41,6,FALSE)</f>
        <v>6</v>
      </c>
      <c r="AG42" s="100">
        <f>+VLOOKUP($AA$42,$AA$16:$AI$41,7,FALSE)</f>
        <v>6.45</v>
      </c>
      <c r="AH42" s="100">
        <f>+VLOOKUP($AA$42,$AA$16:$AI$41,8,FALSE)</f>
        <v>6.15</v>
      </c>
      <c r="AI42" s="100">
        <f>+VLOOKUP($AA$42,$AA$16:$AI$41,9,FALSE)</f>
        <v>6.65</v>
      </c>
      <c r="AK42" t="str">
        <f>+DIM!$AK$20&amp;"+"&amp;DIM!$S$14</f>
        <v>251+250</v>
      </c>
      <c r="AL42" s="100">
        <f>+VLOOKUP($AK$42,$AK$16:$AS$41,2,FALSE)</f>
        <v>5.3</v>
      </c>
      <c r="AM42" s="100">
        <f>+VLOOKUP($AK$42,$AK$16:$AS$41,3,FALSE)</f>
        <v>5.9</v>
      </c>
      <c r="AN42" s="100">
        <f>+VLOOKUP($AK$42,$AK$16:$AS$41,4,FALSE)</f>
        <v>5.6</v>
      </c>
      <c r="AO42" s="100">
        <f>+VLOOKUP($AK$42,$AK$16:$AS$41,5,FALSE)</f>
        <v>6.2</v>
      </c>
      <c r="AP42" s="100">
        <f>+VLOOKUP($AK$42,$AK$16:$AS$41,6,FALSE)</f>
        <v>5.6</v>
      </c>
      <c r="AQ42" s="100">
        <f>+VLOOKUP($AK$42,$AK$16:$AS$41,7,FALSE)</f>
        <v>6.2</v>
      </c>
      <c r="AR42" s="100">
        <f>+VLOOKUP($AK$42,$AK$16:$AS$41,8,FALSE)</f>
        <v>5.7</v>
      </c>
      <c r="AS42" s="100">
        <f>+VLOOKUP($AK$42,$AK$16:$AS$41,9,FALSE)</f>
        <v>6.3</v>
      </c>
      <c r="AU42" t="str">
        <f>+DIM!$AK$20&amp;"+"&amp;DIM!$S$14</f>
        <v>251+250</v>
      </c>
      <c r="AV42" s="100">
        <f>+VLOOKUP($AU$42,$AU$16:$BC$41,2,FALSE)</f>
        <v>6.6</v>
      </c>
      <c r="AW42" s="100">
        <f>+VLOOKUP($AU$42,$AU$16:$BC$41,3,FALSE)</f>
        <v>7.1</v>
      </c>
      <c r="AX42" s="100">
        <f>+VLOOKUP($AU$42,$AU$16:$BC$41,4,FALSE)</f>
        <v>6.8</v>
      </c>
      <c r="AY42" s="100">
        <f>+VLOOKUP($AU$42,$AU$16:$BC$41,5,FALSE)</f>
        <v>7.3</v>
      </c>
      <c r="AZ42" s="100">
        <f>+VLOOKUP($AU$42,$AU$16:$BC$41,6,FALSE)</f>
        <v>6.9</v>
      </c>
      <c r="BA42" s="100">
        <f>+VLOOKUP($AU$42,$AU$16:$BC$41,7,FALSE)</f>
        <v>7.45</v>
      </c>
      <c r="BB42" s="100">
        <f>+VLOOKUP($AU$42,$AU$16:$BC$41,8,FALSE)</f>
        <v>7.05</v>
      </c>
      <c r="BC42" s="100">
        <f>+VLOOKUP($AU$42,$AU$16:$BC$41,9,FALSE)</f>
        <v>7.6</v>
      </c>
      <c r="BE42" t="str">
        <f>+DIM!$AK$20&amp;"+"&amp;DIM!$S$14</f>
        <v>251+250</v>
      </c>
      <c r="BF42" s="100">
        <f>+VLOOKUP($BE$42,$BE$16:$BM$41,2,FALSE)</f>
        <v>6.1</v>
      </c>
      <c r="BG42" s="100">
        <f>+VLOOKUP($BE$42,$BE$16:$BM$41,3,FALSE)</f>
        <v>6.7</v>
      </c>
      <c r="BH42" s="100">
        <f>+VLOOKUP($BE$42,$BE$16:$BM$41,4,FALSE)</f>
        <v>6.2</v>
      </c>
      <c r="BI42" s="100">
        <f>+VLOOKUP($BE$42,$BE$16:$BM$41,5,FALSE)</f>
        <v>6.8</v>
      </c>
      <c r="BJ42" s="100">
        <f>+VLOOKUP($BE$42,$BE$16:$BM$41,6,FALSE)</f>
        <v>6.3</v>
      </c>
      <c r="BK42" s="100">
        <f>+VLOOKUP($BE$42,$BE$16:$BM$41,7,FALSE)</f>
        <v>6.9</v>
      </c>
      <c r="BL42" s="100">
        <f>+VLOOKUP($BE$42,$BE$16:$BM$41,8,FALSE)</f>
        <v>6.4</v>
      </c>
      <c r="BM42" s="100">
        <f>+VLOOKUP($BE$42,$BE$16:$BM$41,9,FALSE)</f>
        <v>6.9</v>
      </c>
    </row>
    <row r="43" spans="2:65" hidden="1" x14ac:dyDescent="0.2">
      <c r="F43" t="s">
        <v>47</v>
      </c>
      <c r="G43" t="str">
        <f>+DIM!AD15</f>
        <v>1C</v>
      </c>
      <c r="H43" s="237">
        <f>+IF(DIM!$AD$15=$H$15,H42,I42)</f>
        <v>4.3499999999999996</v>
      </c>
      <c r="I43" s="237"/>
      <c r="J43" s="237">
        <f>+IF(DIM!$AD$15=$H$15,J42,K42)</f>
        <v>4.55</v>
      </c>
      <c r="K43" s="237"/>
      <c r="L43" s="237">
        <f>+IF(DIM!$AD$15=$H$15,L42,M42)</f>
        <v>4.8</v>
      </c>
      <c r="M43" s="237"/>
      <c r="N43" s="237">
        <f>+IF(DIM!$AD$15=$H$15,N42,O42)</f>
        <v>5</v>
      </c>
      <c r="O43" s="237"/>
      <c r="Q43" t="str">
        <f>+DIM!AD15</f>
        <v>1C</v>
      </c>
      <c r="R43" s="233"/>
      <c r="S43" s="234"/>
      <c r="T43" s="233"/>
      <c r="U43" s="234"/>
      <c r="V43" s="233"/>
      <c r="W43" s="234"/>
      <c r="X43" s="233"/>
      <c r="Y43" s="234"/>
      <c r="AA43" t="str">
        <f>+DIM!AD15</f>
        <v>1C</v>
      </c>
      <c r="AB43" s="238">
        <f>+IF(DIM!$AD$15=$H$15,AB42,AC42)</f>
        <v>5.95</v>
      </c>
      <c r="AC43" s="239"/>
      <c r="AD43" s="238">
        <f>+IF(DIM!$AD$15=$H$15,AD42,AE42)</f>
        <v>6.3</v>
      </c>
      <c r="AE43" s="239"/>
      <c r="AF43" s="238">
        <f>+IF(DIM!$AD$15=$H$15,AF42,AG42)</f>
        <v>6.45</v>
      </c>
      <c r="AG43" s="239"/>
      <c r="AH43" s="238">
        <f>+IF(DIM!$AD$15=$H$15,AH42,AI42)</f>
        <v>6.65</v>
      </c>
      <c r="AI43" s="239"/>
      <c r="AK43" t="str">
        <f>+DIM!AD15</f>
        <v>1C</v>
      </c>
      <c r="AL43" s="238">
        <f>+IF(DIM!$AD$15=$H$15,AL42,AM42)</f>
        <v>5.9</v>
      </c>
      <c r="AM43" s="239"/>
      <c r="AN43" s="238">
        <f>+IF(DIM!$AD$15=$H$15,AN42,AO42)</f>
        <v>6.2</v>
      </c>
      <c r="AO43" s="239"/>
      <c r="AP43" s="238">
        <f>+IF(DIM!$AD$15=$H$15,AP42,AQ42)</f>
        <v>6.2</v>
      </c>
      <c r="AQ43" s="239"/>
      <c r="AR43" s="238">
        <f>+IF(DIM!$AD$15=$H$15,AR42,AS42)</f>
        <v>6.3</v>
      </c>
      <c r="AS43" s="239"/>
      <c r="AU43" t="str">
        <f>+AK43</f>
        <v>1C</v>
      </c>
      <c r="AV43" s="238">
        <f>+IF(DIM!$AD$15=$H$15,AV42,AW42)</f>
        <v>7.1</v>
      </c>
      <c r="AW43" s="239"/>
      <c r="AX43" s="238">
        <f>+IF(DIM!$AD$15=$H$15,AX42,AY42)</f>
        <v>7.3</v>
      </c>
      <c r="AY43" s="239"/>
      <c r="AZ43" s="238">
        <f>+IF(DIM!$AD$15=$H$15,AZ42,BA42)</f>
        <v>7.45</v>
      </c>
      <c r="BA43" s="239"/>
      <c r="BB43" s="238">
        <f>+IF(DIM!$AD$15=$H$15,BB42,BC42)</f>
        <v>7.6</v>
      </c>
      <c r="BC43" s="239"/>
      <c r="BE43" t="str">
        <f>+AU43</f>
        <v>1C</v>
      </c>
      <c r="BF43" s="238">
        <f>+IF(DIM!$AD$15=$H$15,BF42,BG42)</f>
        <v>6.7</v>
      </c>
      <c r="BG43" s="239"/>
      <c r="BH43" s="238">
        <f>+IF(DIM!$AD$15=$H$15,BH42,BI42)</f>
        <v>6.8</v>
      </c>
      <c r="BI43" s="239"/>
      <c r="BJ43" s="238">
        <f>+IF(DIM!$AD$15=$H$15,BJ42,BK42)</f>
        <v>6.9</v>
      </c>
      <c r="BK43" s="239"/>
      <c r="BL43" s="238">
        <f>+IF(DIM!$AD$15=$H$15,BL42,BM42)</f>
        <v>6.9</v>
      </c>
      <c r="BM43" s="239"/>
    </row>
    <row r="44" spans="2:65" hidden="1" x14ac:dyDescent="0.2">
      <c r="B44" t="str">
        <f>IF(E45&gt;20,"hauteur hourdis non disponible",IF(E45=12,"predal-seacoustic hauteur hourdis 15 mini ",+"plancher"&amp;" "&amp;"PREDAL-SEACOUSTIC"&amp;" "&amp;E45&amp;" "&amp;"+"&amp;" "&amp;G44))</f>
        <v>plancher PREDAL-SEACOUSTIC 15 + 5</v>
      </c>
      <c r="F44" t="s">
        <v>48</v>
      </c>
      <c r="G44" s="101">
        <f>+DIM!S32</f>
        <v>5</v>
      </c>
      <c r="K44" s="102">
        <f>+HLOOKUP(G44,H14:O43,30,FALSE)</f>
        <v>4.3499999999999996</v>
      </c>
      <c r="Q44" s="101">
        <f>+DIM!S32</f>
        <v>5</v>
      </c>
      <c r="U44" s="102" t="s">
        <v>100</v>
      </c>
      <c r="AA44" s="101">
        <f>+DIM!S32</f>
        <v>5</v>
      </c>
      <c r="AE44" s="102">
        <f>+HLOOKUP(AA44,AB14:AI43,30,FALSE)</f>
        <v>5.95</v>
      </c>
      <c r="AK44" s="101">
        <f>+AA44</f>
        <v>5</v>
      </c>
      <c r="AO44" s="102">
        <f>+HLOOKUP(AK44,AL14:AS43,30,FALSE)</f>
        <v>5.9</v>
      </c>
      <c r="AU44" s="100">
        <f>+AK44</f>
        <v>5</v>
      </c>
      <c r="AY44" s="102">
        <f>+HLOOKUP(AU44,AV14:BC43,30,FALSE)</f>
        <v>7.1</v>
      </c>
      <c r="BE44" s="101">
        <f>+AU44</f>
        <v>5</v>
      </c>
      <c r="BI44" s="102">
        <f>+HLOOKUP(BE44,BF14:BM43,30,FALSE)</f>
        <v>6.7</v>
      </c>
    </row>
    <row r="45" spans="2:65" hidden="1" x14ac:dyDescent="0.2">
      <c r="E45">
        <f>+DIM!Q32</f>
        <v>15</v>
      </c>
      <c r="F45" t="s">
        <v>65</v>
      </c>
      <c r="G45" t="str">
        <f>IF(E45&gt;20,"hauteur hourdis non disponible",IF(E45=12,IF(G46=60,"hauteur hourdis 15 mini pour REI60",+"plancher"&amp;" "&amp;"EBS"&amp;" "&amp;E45&amp;" "&amp;"+" &amp;" "&amp;G44),+"plancher"&amp;" "&amp;"EBS"&amp;" "&amp;E45&amp;" "&amp;"+" &amp;" "&amp;G44))</f>
        <v>plancher EBS 15 + 5</v>
      </c>
      <c r="K45" s="103" t="str">
        <f>+K10&amp;"+"&amp;G44</f>
        <v>12+5</v>
      </c>
      <c r="U45" s="103" t="str">
        <f>+U10&amp;"+"&amp;Q44</f>
        <v>12+5</v>
      </c>
      <c r="AE45" s="103" t="str">
        <f>+AE10&amp;"+"&amp;AA44</f>
        <v>15+5</v>
      </c>
      <c r="AO45" s="103" t="str">
        <f>+AO10&amp;"+"&amp;AK44</f>
        <v>15+5</v>
      </c>
      <c r="AY45" s="103" t="str">
        <f>+AY10&amp;"+"&amp;AU44</f>
        <v>20+5</v>
      </c>
      <c r="BI45" s="103" t="str">
        <f>+BI10&amp;"+"&amp;BE44</f>
        <v>20+5</v>
      </c>
    </row>
    <row r="46" spans="2:65" hidden="1" x14ac:dyDescent="0.2">
      <c r="F46" t="s">
        <v>61</v>
      </c>
      <c r="G46">
        <f>+DIM!L22</f>
        <v>30</v>
      </c>
      <c r="K46" s="98">
        <f>+HLOOKUP(G44,H14:O40,27,FALSE)</f>
        <v>188</v>
      </c>
      <c r="U46" s="98">
        <f>+HLOOKUP(Q44,R14:Y40,24,FALSE)</f>
        <v>0</v>
      </c>
      <c r="AE46" s="98">
        <f>+HLOOKUP(AA44,AB14:AI40,27,FALSE)</f>
        <v>211</v>
      </c>
      <c r="AO46" s="98">
        <f>+HLOOKUP(AK44,AL14:AS40,27,FALSE)</f>
        <v>211</v>
      </c>
      <c r="AY46" s="98">
        <f>+HLOOKUP(AU44,AV14:BC40,27,FALSE)</f>
        <v>272</v>
      </c>
      <c r="BI46" s="98">
        <f>+HLOOKUP(BE44,BF14:BM40,27,FALSE)</f>
        <v>272</v>
      </c>
    </row>
    <row r="47" spans="2:65" hidden="1" x14ac:dyDescent="0.2">
      <c r="F47">
        <v>12</v>
      </c>
      <c r="G47">
        <f>+IF($G$46=30,K44,U44)</f>
        <v>4.3499999999999996</v>
      </c>
      <c r="H47">
        <f>+IF($G$46=30,K46,U46)</f>
        <v>188</v>
      </c>
      <c r="I47">
        <f>+IF($G$46=30,K47,U47)</f>
        <v>62.5</v>
      </c>
      <c r="J47">
        <f>+IF($G$46=30,K48,U48)</f>
        <v>14.85</v>
      </c>
      <c r="K47" s="98">
        <f>+HLOOKUP(G44,H14:O41,28,FALSE)</f>
        <v>62.5</v>
      </c>
      <c r="U47" s="98">
        <f>+HLOOKUP(Q44,R14:Y41,25,FALSE)</f>
        <v>0</v>
      </c>
      <c r="AE47" s="98">
        <f>+HLOOKUP(AA44,AB14:AI41,28,FALSE)</f>
        <v>70</v>
      </c>
      <c r="AO47" s="98">
        <f>+HLOOKUP(AK44,AL14:AS41,28,FALSE)</f>
        <v>70</v>
      </c>
      <c r="AY47" s="98">
        <f>+HLOOKUP(AU44,AV14:BC41,28,FALSE)</f>
        <v>86</v>
      </c>
      <c r="BI47" s="98">
        <f>+HLOOKUP(BE44,BF14:BM41,28,FALSE)</f>
        <v>86</v>
      </c>
    </row>
    <row r="48" spans="2:65" hidden="1" x14ac:dyDescent="0.2">
      <c r="F48">
        <v>15</v>
      </c>
      <c r="G48">
        <f>+IF($G$46=30,AE44,AO44)</f>
        <v>5.95</v>
      </c>
      <c r="H48">
        <f>+IF($G$46=30,AE46,AO46)</f>
        <v>211</v>
      </c>
      <c r="I48">
        <f>+IF($G$46=30,AE47,AO47)</f>
        <v>70</v>
      </c>
      <c r="J48">
        <f>+IF($G$46=30,AE48,AO48)</f>
        <v>16.72</v>
      </c>
      <c r="K48" s="98">
        <f>+HLOOKUP(K45,H113:O115,3,FALSE)</f>
        <v>14.85</v>
      </c>
      <c r="U48" s="98">
        <f>+HLOOKUP(U45,R113:Y115,3,FALSE)</f>
        <v>14.85</v>
      </c>
      <c r="AE48" s="98">
        <f>+HLOOKUP(AE45,AB113:AI115,3,FALSE)</f>
        <v>16.72</v>
      </c>
      <c r="AO48" s="98">
        <f>+HLOOKUP(AO45,AL113:AS115,3,FALSE)</f>
        <v>16.72</v>
      </c>
      <c r="AY48" s="98">
        <f>+HLOOKUP(AY45,AV113:BC115,3,FALSE)</f>
        <v>20.98</v>
      </c>
    </row>
    <row r="49" spans="5:65" ht="19.5" hidden="1" x14ac:dyDescent="0.35">
      <c r="F49">
        <v>20</v>
      </c>
      <c r="G49">
        <f>+IF($G$46=30,AY44,BI44)</f>
        <v>7.1</v>
      </c>
      <c r="H49">
        <f>+IF($G$46=30,AY46,BI46)</f>
        <v>272</v>
      </c>
      <c r="I49">
        <f>+IF($G$46=30,AY47,BI47)</f>
        <v>86</v>
      </c>
      <c r="J49">
        <f>+IF($G$46=30,AY48,BI48)</f>
        <v>20.98</v>
      </c>
      <c r="K49" s="97">
        <v>12</v>
      </c>
      <c r="U49" s="97">
        <v>12</v>
      </c>
      <c r="AE49" s="97">
        <v>15</v>
      </c>
      <c r="AF49" s="97" t="s">
        <v>96</v>
      </c>
      <c r="AO49" s="97">
        <v>15</v>
      </c>
      <c r="AP49" s="97" t="s">
        <v>97</v>
      </c>
      <c r="AY49" s="97">
        <v>20</v>
      </c>
      <c r="AZ49" s="97" t="s">
        <v>96</v>
      </c>
      <c r="BI49" s="97">
        <v>20</v>
      </c>
      <c r="BJ49" s="97" t="s">
        <v>97</v>
      </c>
    </row>
    <row r="50" spans="5:65" hidden="1" x14ac:dyDescent="0.2">
      <c r="E50" t="s">
        <v>70</v>
      </c>
      <c r="F50" t="s">
        <v>74</v>
      </c>
      <c r="G50">
        <f>IF(E45&gt;20,"--",+VLOOKUP(DIM!Q32,F47:I49,2,FALSE))</f>
        <v>5.95</v>
      </c>
      <c r="K50" s="98" t="s">
        <v>78</v>
      </c>
      <c r="U50" s="98" t="s">
        <v>83</v>
      </c>
      <c r="AE50" s="98" t="s">
        <v>84</v>
      </c>
      <c r="AO50" s="98" t="s">
        <v>84</v>
      </c>
      <c r="AY50" s="98" t="s">
        <v>84</v>
      </c>
      <c r="BI50" s="98" t="s">
        <v>78</v>
      </c>
    </row>
    <row r="51" spans="5:65" hidden="1" x14ac:dyDescent="0.2">
      <c r="F51" t="s">
        <v>75</v>
      </c>
      <c r="G51">
        <f>IF(E45&gt;20,0,+VLOOKUP(DIM!Q32,F47:I49,3,FALSE))</f>
        <v>211</v>
      </c>
    </row>
    <row r="52" spans="5:65" hidden="1" x14ac:dyDescent="0.2">
      <c r="F52" t="s">
        <v>72</v>
      </c>
      <c r="G52">
        <f>IF(E45&gt;20,0,+VLOOKUP(DIM!Q32,F47:I49,4,FALSE))</f>
        <v>70</v>
      </c>
    </row>
    <row r="53" spans="5:65" hidden="1" x14ac:dyDescent="0.2">
      <c r="F53" t="s">
        <v>275</v>
      </c>
      <c r="G53">
        <f>IF(E45&gt;20,0,+VLOOKUP(DIM!Q32,F47:J49,5,FALSE))</f>
        <v>16.72</v>
      </c>
    </row>
    <row r="54" spans="5:65" hidden="1" x14ac:dyDescent="0.2"/>
    <row r="55" spans="5:65" hidden="1" x14ac:dyDescent="0.2"/>
    <row r="56" spans="5:65" ht="19.5" hidden="1" x14ac:dyDescent="0.35">
      <c r="K56" s="97">
        <v>12</v>
      </c>
      <c r="L56" s="97" t="s">
        <v>87</v>
      </c>
      <c r="M56" s="97" t="s">
        <v>96</v>
      </c>
      <c r="U56" s="97">
        <v>12</v>
      </c>
      <c r="V56" s="97" t="s">
        <v>87</v>
      </c>
      <c r="AE56" s="97">
        <v>15</v>
      </c>
      <c r="AF56" s="97" t="s">
        <v>87</v>
      </c>
      <c r="AG56" s="97" t="s">
        <v>96</v>
      </c>
      <c r="AO56" s="97">
        <v>15</v>
      </c>
      <c r="AP56" s="97" t="s">
        <v>87</v>
      </c>
      <c r="AQ56" s="97" t="s">
        <v>97</v>
      </c>
      <c r="AY56" s="97">
        <v>20</v>
      </c>
      <c r="AZ56" s="97" t="s">
        <v>87</v>
      </c>
      <c r="BA56" s="97" t="s">
        <v>96</v>
      </c>
      <c r="BI56" s="97">
        <v>20</v>
      </c>
      <c r="BJ56" s="97" t="s">
        <v>87</v>
      </c>
      <c r="BK56" s="97" t="s">
        <v>97</v>
      </c>
    </row>
    <row r="57" spans="5:65" hidden="1" x14ac:dyDescent="0.2">
      <c r="K57" s="98" t="s">
        <v>78</v>
      </c>
      <c r="U57" s="98" t="s">
        <v>83</v>
      </c>
      <c r="AE57" s="98" t="s">
        <v>84</v>
      </c>
      <c r="AO57" s="98" t="s">
        <v>78</v>
      </c>
      <c r="AY57" s="98" t="s">
        <v>84</v>
      </c>
      <c r="BI57" s="98" t="s">
        <v>78</v>
      </c>
    </row>
    <row r="58" spans="5:65" hidden="1" x14ac:dyDescent="0.2">
      <c r="H58">
        <v>137</v>
      </c>
      <c r="R58">
        <v>937</v>
      </c>
      <c r="T58">
        <v>179</v>
      </c>
      <c r="V58">
        <v>179</v>
      </c>
      <c r="X58">
        <v>189</v>
      </c>
      <c r="AB58">
        <v>158</v>
      </c>
      <c r="AD58">
        <v>179</v>
      </c>
      <c r="AF58">
        <v>189</v>
      </c>
      <c r="AH58">
        <v>189</v>
      </c>
      <c r="AL58">
        <v>158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235" t="s">
        <v>302</v>
      </c>
      <c r="I59" s="235"/>
      <c r="J59" s="235" t="s">
        <v>303</v>
      </c>
      <c r="K59" s="235"/>
      <c r="L59" s="235" t="s">
        <v>304</v>
      </c>
      <c r="M59" s="235"/>
      <c r="N59" s="235" t="s">
        <v>305</v>
      </c>
      <c r="O59" s="235"/>
      <c r="R59" s="235" t="s">
        <v>302</v>
      </c>
      <c r="S59" s="235"/>
      <c r="T59" s="235" t="s">
        <v>303</v>
      </c>
      <c r="U59" s="235"/>
      <c r="V59" s="235" t="s">
        <v>304</v>
      </c>
      <c r="W59" s="235"/>
      <c r="X59" s="235" t="s">
        <v>305</v>
      </c>
      <c r="Y59" s="235"/>
      <c r="AB59" s="235" t="s">
        <v>306</v>
      </c>
      <c r="AC59" s="235"/>
      <c r="AD59" s="235" t="s">
        <v>307</v>
      </c>
      <c r="AE59" s="235"/>
      <c r="AF59" s="235" t="s">
        <v>308</v>
      </c>
      <c r="AG59" s="235"/>
      <c r="AH59" s="235" t="s">
        <v>309</v>
      </c>
      <c r="AI59" s="235"/>
      <c r="AL59" s="235" t="s">
        <v>306</v>
      </c>
      <c r="AM59" s="235"/>
      <c r="AN59" s="235" t="s">
        <v>307</v>
      </c>
      <c r="AO59" s="235"/>
      <c r="AP59" s="235" t="s">
        <v>308</v>
      </c>
      <c r="AQ59" s="235"/>
      <c r="AR59" s="235" t="s">
        <v>309</v>
      </c>
      <c r="AS59" s="235"/>
      <c r="AV59" s="235" t="s">
        <v>310</v>
      </c>
      <c r="AW59" s="235"/>
      <c r="AX59" s="235" t="s">
        <v>311</v>
      </c>
      <c r="AY59" s="235"/>
      <c r="AZ59" s="235" t="s">
        <v>312</v>
      </c>
      <c r="BA59" s="235"/>
      <c r="BB59" s="235" t="s">
        <v>313</v>
      </c>
      <c r="BC59" s="235"/>
      <c r="BF59" s="235" t="s">
        <v>310</v>
      </c>
      <c r="BG59" s="235"/>
      <c r="BH59" s="235" t="s">
        <v>311</v>
      </c>
      <c r="BI59" s="235"/>
      <c r="BJ59" s="235" t="s">
        <v>312</v>
      </c>
      <c r="BK59" s="235"/>
      <c r="BL59" s="235" t="s">
        <v>313</v>
      </c>
      <c r="BM59" s="235"/>
    </row>
    <row r="60" spans="5:65" hidden="1" x14ac:dyDescent="0.2">
      <c r="H60" s="235">
        <v>5</v>
      </c>
      <c r="I60" s="235"/>
      <c r="J60" s="235">
        <v>6</v>
      </c>
      <c r="K60" s="235"/>
      <c r="L60" s="235">
        <v>7</v>
      </c>
      <c r="M60" s="235"/>
      <c r="N60" s="235">
        <v>8</v>
      </c>
      <c r="O60" s="235"/>
      <c r="R60" s="235">
        <v>5</v>
      </c>
      <c r="S60" s="235"/>
      <c r="T60" s="235">
        <v>6</v>
      </c>
      <c r="U60" s="235"/>
      <c r="V60" s="235">
        <v>7</v>
      </c>
      <c r="W60" s="235"/>
      <c r="X60" s="235">
        <v>8</v>
      </c>
      <c r="Y60" s="235"/>
      <c r="AB60" s="235">
        <v>5</v>
      </c>
      <c r="AC60" s="235"/>
      <c r="AD60" s="235">
        <v>6</v>
      </c>
      <c r="AE60" s="235"/>
      <c r="AF60" s="235">
        <v>7</v>
      </c>
      <c r="AG60" s="235"/>
      <c r="AH60" s="235">
        <v>8</v>
      </c>
      <c r="AI60" s="235"/>
      <c r="AL60" s="235">
        <v>5</v>
      </c>
      <c r="AM60" s="235"/>
      <c r="AN60" s="235">
        <v>6</v>
      </c>
      <c r="AO60" s="235"/>
      <c r="AP60" s="235">
        <v>7</v>
      </c>
      <c r="AQ60" s="235"/>
      <c r="AR60" s="235">
        <v>8</v>
      </c>
      <c r="AS60" s="235"/>
      <c r="AV60" s="235">
        <v>5</v>
      </c>
      <c r="AW60" s="235"/>
      <c r="AX60" s="235">
        <v>6</v>
      </c>
      <c r="AY60" s="235"/>
      <c r="AZ60" s="235">
        <v>7</v>
      </c>
      <c r="BA60" s="235"/>
      <c r="BB60" s="235">
        <v>8</v>
      </c>
      <c r="BC60" s="235"/>
      <c r="BF60" s="235">
        <v>5</v>
      </c>
      <c r="BG60" s="235"/>
      <c r="BH60" s="235">
        <v>6</v>
      </c>
      <c r="BI60" s="235"/>
      <c r="BJ60" s="235">
        <v>7</v>
      </c>
      <c r="BK60" s="235"/>
      <c r="BL60" s="235">
        <v>8</v>
      </c>
      <c r="BM60" s="235"/>
    </row>
    <row r="61" spans="5:65" hidden="1" x14ac:dyDescent="0.2">
      <c r="H61" s="99" t="s">
        <v>24</v>
      </c>
      <c r="I61" s="99" t="s">
        <v>25</v>
      </c>
      <c r="J61" s="99" t="s">
        <v>24</v>
      </c>
      <c r="K61" s="99" t="s">
        <v>25</v>
      </c>
      <c r="L61" s="99" t="s">
        <v>24</v>
      </c>
      <c r="M61" s="99" t="s">
        <v>25</v>
      </c>
      <c r="N61" s="99" t="s">
        <v>24</v>
      </c>
      <c r="O61" s="99" t="s">
        <v>25</v>
      </c>
      <c r="R61" s="99" t="s">
        <v>24</v>
      </c>
      <c r="S61" s="99" t="s">
        <v>25</v>
      </c>
      <c r="T61" s="99" t="s">
        <v>24</v>
      </c>
      <c r="U61" s="99" t="s">
        <v>25</v>
      </c>
      <c r="V61" s="99" t="s">
        <v>24</v>
      </c>
      <c r="W61" s="99" t="s">
        <v>25</v>
      </c>
      <c r="X61" s="99" t="s">
        <v>24</v>
      </c>
      <c r="Y61" s="99" t="s">
        <v>25</v>
      </c>
      <c r="AB61" s="99" t="s">
        <v>24</v>
      </c>
      <c r="AC61" s="99" t="s">
        <v>25</v>
      </c>
      <c r="AD61" s="99" t="s">
        <v>24</v>
      </c>
      <c r="AE61" s="99" t="s">
        <v>25</v>
      </c>
      <c r="AF61" s="99" t="s">
        <v>24</v>
      </c>
      <c r="AG61" s="99" t="s">
        <v>25</v>
      </c>
      <c r="AH61" s="99" t="s">
        <v>24</v>
      </c>
      <c r="AI61" s="99" t="s">
        <v>25</v>
      </c>
      <c r="AL61" s="99" t="s">
        <v>24</v>
      </c>
      <c r="AM61" s="99" t="s">
        <v>25</v>
      </c>
      <c r="AN61" s="99" t="s">
        <v>24</v>
      </c>
      <c r="AO61" s="99" t="s">
        <v>25</v>
      </c>
      <c r="AP61" s="99" t="s">
        <v>24</v>
      </c>
      <c r="AQ61" s="99" t="s">
        <v>25</v>
      </c>
      <c r="AR61" s="99" t="s">
        <v>24</v>
      </c>
      <c r="AS61" s="99" t="s">
        <v>25</v>
      </c>
      <c r="AV61" s="99" t="s">
        <v>24</v>
      </c>
      <c r="AW61" s="99" t="s">
        <v>25</v>
      </c>
      <c r="AX61" s="99" t="s">
        <v>24</v>
      </c>
      <c r="AY61" s="99" t="s">
        <v>25</v>
      </c>
      <c r="AZ61" s="99" t="s">
        <v>24</v>
      </c>
      <c r="BA61" s="99" t="s">
        <v>25</v>
      </c>
      <c r="BB61" s="99" t="s">
        <v>24</v>
      </c>
      <c r="BC61" s="99" t="s">
        <v>25</v>
      </c>
      <c r="BF61" s="99" t="s">
        <v>24</v>
      </c>
      <c r="BG61" s="99" t="s">
        <v>25</v>
      </c>
      <c r="BH61" s="99" t="s">
        <v>24</v>
      </c>
      <c r="BI61" s="99" t="s">
        <v>25</v>
      </c>
      <c r="BJ61" s="99" t="s">
        <v>24</v>
      </c>
      <c r="BK61" s="99" t="s">
        <v>25</v>
      </c>
      <c r="BL61" s="99" t="s">
        <v>24</v>
      </c>
      <c r="BM61" s="99" t="s">
        <v>25</v>
      </c>
    </row>
    <row r="62" spans="5:65" hidden="1" x14ac:dyDescent="0.2">
      <c r="G62" t="s">
        <v>34</v>
      </c>
      <c r="Q62" t="s">
        <v>34</v>
      </c>
      <c r="AA62" t="s">
        <v>161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8.6999999999999993</v>
      </c>
      <c r="AI62">
        <v>9</v>
      </c>
      <c r="AK62" t="s">
        <v>161</v>
      </c>
      <c r="AL62">
        <v>7.7</v>
      </c>
      <c r="AM62">
        <v>8.4</v>
      </c>
      <c r="AN62">
        <v>8.1999999999999993</v>
      </c>
      <c r="AO62">
        <v>8.6</v>
      </c>
      <c r="AP62">
        <v>8.4</v>
      </c>
      <c r="AQ62">
        <v>8.6999999999999993</v>
      </c>
      <c r="AR62">
        <v>8.3000000000000007</v>
      </c>
      <c r="AS62">
        <v>8.9</v>
      </c>
      <c r="AU62" t="s">
        <v>161</v>
      </c>
      <c r="AV62">
        <v>8.8000000000000007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161</v>
      </c>
      <c r="BF62">
        <v>8.6</v>
      </c>
      <c r="BG62">
        <v>9</v>
      </c>
      <c r="BH62">
        <v>8.6999999999999993</v>
      </c>
      <c r="BI62">
        <v>9</v>
      </c>
      <c r="BJ62">
        <v>8.4</v>
      </c>
      <c r="BK62">
        <v>9</v>
      </c>
      <c r="BL62">
        <f>0.1+BJ62</f>
        <v>8.5</v>
      </c>
      <c r="BM62">
        <v>9</v>
      </c>
    </row>
    <row r="63" spans="5:65" hidden="1" x14ac:dyDescent="0.2">
      <c r="G63" t="s">
        <v>34</v>
      </c>
      <c r="Q63" t="s">
        <v>34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L63">
        <v>7.3</v>
      </c>
      <c r="AM63">
        <v>7.9</v>
      </c>
      <c r="AN63">
        <v>7.7</v>
      </c>
      <c r="AO63">
        <v>8.3000000000000007</v>
      </c>
      <c r="AP63">
        <v>7.8</v>
      </c>
      <c r="AQ63">
        <v>8.4</v>
      </c>
      <c r="AR63">
        <v>7.9</v>
      </c>
      <c r="AS63">
        <v>8.5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  <c r="BF63">
        <v>8.3000000000000007</v>
      </c>
      <c r="BG63">
        <v>8.9</v>
      </c>
      <c r="BH63">
        <v>8.4</v>
      </c>
      <c r="BI63">
        <v>9</v>
      </c>
      <c r="BJ63">
        <v>8.4</v>
      </c>
      <c r="BK63">
        <v>9</v>
      </c>
      <c r="BL63">
        <f>0.1+BJ63</f>
        <v>8.5</v>
      </c>
      <c r="BM63">
        <v>9</v>
      </c>
    </row>
    <row r="64" spans="5:65" hidden="1" x14ac:dyDescent="0.2">
      <c r="G64" t="s">
        <v>35</v>
      </c>
      <c r="Q64" t="s">
        <v>35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L64">
        <v>6.9</v>
      </c>
      <c r="AM64">
        <v>7.5</v>
      </c>
      <c r="AN64">
        <v>7.4</v>
      </c>
      <c r="AO64">
        <v>7.9</v>
      </c>
      <c r="AP64">
        <v>7.4</v>
      </c>
      <c r="AQ64">
        <v>8</v>
      </c>
      <c r="AR64">
        <v>7.5</v>
      </c>
      <c r="AS64">
        <v>8.1</v>
      </c>
      <c r="AU64" t="s">
        <v>35</v>
      </c>
      <c r="AV64">
        <v>8.4</v>
      </c>
      <c r="AW64">
        <v>9.1999999999999993</v>
      </c>
      <c r="AX64">
        <v>8.6</v>
      </c>
      <c r="AY64">
        <v>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  <c r="BF64">
        <v>8</v>
      </c>
      <c r="BG64">
        <v>8.5</v>
      </c>
      <c r="BH64">
        <v>8</v>
      </c>
      <c r="BI64">
        <v>8.6</v>
      </c>
      <c r="BJ64">
        <v>8.1</v>
      </c>
      <c r="BK64">
        <v>8.6999999999999993</v>
      </c>
      <c r="BL64">
        <f t="shared" ref="BL64:BL85" si="5">0.1+BJ64</f>
        <v>8.1999999999999993</v>
      </c>
      <c r="BM64">
        <v>8.6999999999999993</v>
      </c>
    </row>
    <row r="65" spans="7:65" hidden="1" x14ac:dyDescent="0.2">
      <c r="G65" t="s">
        <v>36</v>
      </c>
      <c r="Q65" t="s">
        <v>36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L65">
        <v>6.6</v>
      </c>
      <c r="AM65">
        <v>7.2</v>
      </c>
      <c r="AN65">
        <v>7</v>
      </c>
      <c r="AO65">
        <v>7.6</v>
      </c>
      <c r="AP65">
        <v>7.1</v>
      </c>
      <c r="AQ65">
        <v>7.7</v>
      </c>
      <c r="AR65">
        <v>7.2</v>
      </c>
      <c r="AS65">
        <v>7.8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  <c r="BF65">
        <v>7.6</v>
      </c>
      <c r="BG65">
        <v>8.1999999999999993</v>
      </c>
      <c r="BH65">
        <v>7.7</v>
      </c>
      <c r="BI65">
        <v>8.3000000000000007</v>
      </c>
      <c r="BJ65">
        <v>7.8</v>
      </c>
      <c r="BK65">
        <v>8.4</v>
      </c>
      <c r="BL65">
        <f t="shared" si="5"/>
        <v>7.8999999999999995</v>
      </c>
      <c r="BM65">
        <v>8.4</v>
      </c>
    </row>
    <row r="66" spans="7:65" hidden="1" x14ac:dyDescent="0.2">
      <c r="G66" t="s">
        <v>37</v>
      </c>
      <c r="Q66" t="s">
        <v>37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L66">
        <v>6.3</v>
      </c>
      <c r="AM66">
        <v>6.9</v>
      </c>
      <c r="AN66">
        <v>6.8</v>
      </c>
      <c r="AO66">
        <v>7.3</v>
      </c>
      <c r="AP66">
        <v>6.9</v>
      </c>
      <c r="AQ66">
        <v>7.4</v>
      </c>
      <c r="AR66">
        <v>7</v>
      </c>
      <c r="AS66">
        <v>7.5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  <c r="BF66">
        <v>7.4</v>
      </c>
      <c r="BG66">
        <v>7.9</v>
      </c>
      <c r="BH66">
        <v>7.5</v>
      </c>
      <c r="BI66">
        <v>8</v>
      </c>
      <c r="BJ66">
        <v>7.6</v>
      </c>
      <c r="BK66">
        <v>8.1</v>
      </c>
      <c r="BL66">
        <v>7.6</v>
      </c>
      <c r="BM66">
        <v>8.1</v>
      </c>
    </row>
    <row r="67" spans="7:65" hidden="1" x14ac:dyDescent="0.2">
      <c r="G67" t="s">
        <v>80</v>
      </c>
      <c r="Q67" t="s">
        <v>80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L67">
        <v>6.1</v>
      </c>
      <c r="AM67">
        <v>6.6</v>
      </c>
      <c r="AN67">
        <v>6.5</v>
      </c>
      <c r="AO67">
        <v>7</v>
      </c>
      <c r="AP67">
        <v>6.6</v>
      </c>
      <c r="AQ67">
        <v>7.1</v>
      </c>
      <c r="AR67">
        <v>6.7</v>
      </c>
      <c r="AS67">
        <v>7.2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  <c r="BF67">
        <v>7.1</v>
      </c>
      <c r="BG67">
        <v>7.6</v>
      </c>
      <c r="BH67">
        <v>7</v>
      </c>
      <c r="BI67">
        <v>7.7</v>
      </c>
      <c r="BJ67">
        <v>7.1</v>
      </c>
      <c r="BK67">
        <v>7.8</v>
      </c>
      <c r="BL67">
        <v>7.3</v>
      </c>
      <c r="BM67">
        <v>7.8</v>
      </c>
    </row>
    <row r="68" spans="7:65" hidden="1" x14ac:dyDescent="0.2">
      <c r="G68" t="s">
        <v>38</v>
      </c>
      <c r="Q68" t="s">
        <v>38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L68">
        <v>5.7</v>
      </c>
      <c r="AM68">
        <v>6.2</v>
      </c>
      <c r="AN68">
        <v>6.1</v>
      </c>
      <c r="AO68">
        <v>6.5</v>
      </c>
      <c r="AP68">
        <v>6.2</v>
      </c>
      <c r="AQ68">
        <v>6.6</v>
      </c>
      <c r="AR68">
        <v>6.3</v>
      </c>
      <c r="AS68">
        <v>6.7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  <c r="BF68">
        <v>6.7</v>
      </c>
      <c r="BG68">
        <v>7.3</v>
      </c>
      <c r="BH68">
        <v>6.8</v>
      </c>
      <c r="BI68">
        <v>7.3</v>
      </c>
      <c r="BJ68">
        <v>6.9</v>
      </c>
      <c r="BK68">
        <v>7.4</v>
      </c>
      <c r="BL68">
        <v>6.9</v>
      </c>
      <c r="BM68">
        <v>7.4</v>
      </c>
    </row>
    <row r="69" spans="7:65" hidden="1" x14ac:dyDescent="0.2">
      <c r="G69" t="s">
        <v>39</v>
      </c>
      <c r="Q69" t="s">
        <v>39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L69">
        <v>5.3</v>
      </c>
      <c r="AM69">
        <v>5.8</v>
      </c>
      <c r="AN69">
        <v>5.7</v>
      </c>
      <c r="AO69">
        <v>6.2</v>
      </c>
      <c r="AP69">
        <v>5.8</v>
      </c>
      <c r="AQ69">
        <v>6.3</v>
      </c>
      <c r="AR69">
        <v>5.9</v>
      </c>
      <c r="AS69">
        <v>6.4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  <c r="BF69">
        <v>6.3</v>
      </c>
      <c r="BG69">
        <v>7</v>
      </c>
      <c r="BH69">
        <v>6.4</v>
      </c>
      <c r="BI69">
        <v>6.9</v>
      </c>
      <c r="BJ69">
        <v>6.5</v>
      </c>
      <c r="BK69">
        <v>7</v>
      </c>
      <c r="BL69">
        <v>6.5</v>
      </c>
      <c r="BM69">
        <v>7</v>
      </c>
    </row>
    <row r="70" spans="7:65" hidden="1" x14ac:dyDescent="0.2">
      <c r="AA70" t="s">
        <v>162</v>
      </c>
      <c r="AB70">
        <v>7.35</v>
      </c>
      <c r="AC70">
        <v>7.8</v>
      </c>
      <c r="AD70">
        <v>7.85</v>
      </c>
      <c r="AE70">
        <v>8.35</v>
      </c>
      <c r="AF70">
        <v>8</v>
      </c>
      <c r="AG70">
        <v>8.5</v>
      </c>
      <c r="AH70">
        <v>8.15</v>
      </c>
      <c r="AI70">
        <v>8.6999999999999993</v>
      </c>
      <c r="AK70" t="s">
        <v>162</v>
      </c>
      <c r="AL70">
        <v>7.2</v>
      </c>
      <c r="AM70">
        <v>7.5</v>
      </c>
      <c r="AN70">
        <v>7.7</v>
      </c>
      <c r="AO70">
        <v>8.35</v>
      </c>
      <c r="AP70">
        <v>7.8</v>
      </c>
      <c r="AQ70">
        <v>8.3000000000000007</v>
      </c>
      <c r="AR70">
        <v>7.9</v>
      </c>
      <c r="AS70">
        <v>8.5</v>
      </c>
      <c r="AU70" t="s">
        <v>162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162</v>
      </c>
      <c r="BF70">
        <v>8.3000000000000007</v>
      </c>
      <c r="BG70">
        <v>8.8000000000000007</v>
      </c>
      <c r="BH70">
        <v>8.4</v>
      </c>
      <c r="BI70">
        <v>9</v>
      </c>
      <c r="BJ70">
        <v>8.4</v>
      </c>
      <c r="BK70">
        <v>9</v>
      </c>
      <c r="BL70">
        <v>8.5</v>
      </c>
      <c r="BM70">
        <v>9</v>
      </c>
    </row>
    <row r="71" spans="7:65" hidden="1" x14ac:dyDescent="0.2">
      <c r="G71" t="s">
        <v>40</v>
      </c>
      <c r="Q71" t="s">
        <v>40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L71">
        <v>6.9</v>
      </c>
      <c r="AM71">
        <v>7.2</v>
      </c>
      <c r="AN71">
        <v>7.4</v>
      </c>
      <c r="AO71">
        <v>7.9</v>
      </c>
      <c r="AP71">
        <v>7.4</v>
      </c>
      <c r="AQ71">
        <v>8</v>
      </c>
      <c r="AR71">
        <v>7.5</v>
      </c>
      <c r="AS71">
        <v>8.1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  <c r="BF71">
        <v>8</v>
      </c>
      <c r="BG71">
        <v>8.5</v>
      </c>
      <c r="BH71">
        <v>8</v>
      </c>
      <c r="BI71">
        <v>8.6</v>
      </c>
      <c r="BJ71">
        <v>8.1</v>
      </c>
      <c r="BK71">
        <v>8.6999999999999993</v>
      </c>
      <c r="BL71">
        <f t="shared" si="5"/>
        <v>8.1999999999999993</v>
      </c>
      <c r="BM71">
        <v>8.6999999999999993</v>
      </c>
    </row>
    <row r="72" spans="7:65" hidden="1" x14ac:dyDescent="0.2">
      <c r="G72" t="s">
        <v>41</v>
      </c>
      <c r="Q72" t="s">
        <v>41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L72">
        <v>6.6</v>
      </c>
      <c r="AM72">
        <v>6.9</v>
      </c>
      <c r="AN72">
        <v>7</v>
      </c>
      <c r="AO72">
        <v>7.5</v>
      </c>
      <c r="AP72">
        <v>7.1</v>
      </c>
      <c r="AQ72">
        <v>7.6</v>
      </c>
      <c r="AR72">
        <v>7.2</v>
      </c>
      <c r="AS72">
        <v>7.7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  <c r="BF72">
        <v>7.6</v>
      </c>
      <c r="BG72">
        <v>8.1999999999999993</v>
      </c>
      <c r="BH72">
        <v>7.7</v>
      </c>
      <c r="BI72">
        <v>8.3000000000000007</v>
      </c>
      <c r="BJ72">
        <v>7.8</v>
      </c>
      <c r="BK72">
        <v>8.4</v>
      </c>
      <c r="BL72">
        <v>8</v>
      </c>
      <c r="BM72">
        <v>8.4</v>
      </c>
    </row>
    <row r="73" spans="7:65" hidden="1" x14ac:dyDescent="0.2">
      <c r="G73" t="s">
        <v>42</v>
      </c>
      <c r="Q73" t="s">
        <v>42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L73">
        <v>6.4</v>
      </c>
      <c r="AM73">
        <v>6.6</v>
      </c>
      <c r="AN73">
        <v>6.8</v>
      </c>
      <c r="AO73">
        <v>7.2</v>
      </c>
      <c r="AP73">
        <v>6.9</v>
      </c>
      <c r="AQ73">
        <v>7.3</v>
      </c>
      <c r="AR73">
        <v>7</v>
      </c>
      <c r="AS73">
        <v>7.5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  <c r="BF73">
        <v>7.4</v>
      </c>
      <c r="BG73">
        <v>7.9</v>
      </c>
      <c r="BH73">
        <v>7.5</v>
      </c>
      <c r="BI73">
        <v>8</v>
      </c>
      <c r="BJ73">
        <v>7.6</v>
      </c>
      <c r="BK73">
        <v>8.1</v>
      </c>
      <c r="BL73">
        <v>7.8</v>
      </c>
      <c r="BM73">
        <v>8.1</v>
      </c>
    </row>
    <row r="74" spans="7:65" hidden="1" x14ac:dyDescent="0.2">
      <c r="G74" t="s">
        <v>43</v>
      </c>
      <c r="Q74" t="s">
        <v>43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L74">
        <v>6.1</v>
      </c>
      <c r="AM74">
        <v>6.4</v>
      </c>
      <c r="AN74">
        <v>6.5</v>
      </c>
      <c r="AO74">
        <v>7</v>
      </c>
      <c r="AP74">
        <v>6.6</v>
      </c>
      <c r="AQ74">
        <v>7.1</v>
      </c>
      <c r="AR74">
        <v>6.7</v>
      </c>
      <c r="AS74">
        <v>7.2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  <c r="BF74">
        <v>7.1</v>
      </c>
      <c r="BG74">
        <v>7.6</v>
      </c>
      <c r="BH74">
        <v>7.2</v>
      </c>
      <c r="BI74">
        <v>7.7</v>
      </c>
      <c r="BJ74">
        <v>7.3</v>
      </c>
      <c r="BK74">
        <v>7.8</v>
      </c>
      <c r="BL74">
        <v>7.5</v>
      </c>
      <c r="BM74">
        <v>7.8</v>
      </c>
    </row>
    <row r="75" spans="7:65" hidden="1" x14ac:dyDescent="0.2">
      <c r="G75" t="s">
        <v>81</v>
      </c>
      <c r="Q75" t="s">
        <v>81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L75">
        <v>5.9</v>
      </c>
      <c r="AM75">
        <v>6.2</v>
      </c>
      <c r="AN75">
        <v>6.3</v>
      </c>
      <c r="AO75">
        <v>6.5</v>
      </c>
      <c r="AP75">
        <v>6.4</v>
      </c>
      <c r="AQ75">
        <v>6.6</v>
      </c>
      <c r="AR75">
        <v>6.5</v>
      </c>
      <c r="AS75">
        <v>6.7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  <c r="BF75">
        <v>6.9</v>
      </c>
      <c r="BG75">
        <v>7.3</v>
      </c>
      <c r="BH75">
        <v>7</v>
      </c>
      <c r="BI75">
        <v>7.4</v>
      </c>
      <c r="BJ75">
        <v>7.1</v>
      </c>
      <c r="BK75">
        <v>7.5</v>
      </c>
      <c r="BL75">
        <f t="shared" si="5"/>
        <v>7.1999999999999993</v>
      </c>
      <c r="BM75">
        <v>7.5</v>
      </c>
    </row>
    <row r="76" spans="7:65" hidden="1" x14ac:dyDescent="0.2">
      <c r="G76" t="s">
        <v>44</v>
      </c>
      <c r="Q76" t="s">
        <v>44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L76">
        <v>5.5</v>
      </c>
      <c r="AM76">
        <v>5.8</v>
      </c>
      <c r="AN76">
        <v>5.9</v>
      </c>
      <c r="AO76">
        <v>6.2</v>
      </c>
      <c r="AP76">
        <v>6</v>
      </c>
      <c r="AQ76">
        <v>6.3</v>
      </c>
      <c r="AR76">
        <v>6.1</v>
      </c>
      <c r="AS76">
        <v>6.4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  <c r="BF76">
        <v>6.5</v>
      </c>
      <c r="BG76">
        <v>6.9</v>
      </c>
      <c r="BH76">
        <v>6.6</v>
      </c>
      <c r="BI76">
        <v>7</v>
      </c>
      <c r="BJ76">
        <v>6.7</v>
      </c>
      <c r="BK76">
        <v>7.1</v>
      </c>
      <c r="BL76">
        <f t="shared" si="5"/>
        <v>6.8</v>
      </c>
      <c r="BM76">
        <v>7.1</v>
      </c>
    </row>
    <row r="77" spans="7:65" hidden="1" x14ac:dyDescent="0.2">
      <c r="G77" t="s">
        <v>67</v>
      </c>
      <c r="Q77" t="s">
        <v>67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L77">
        <v>5.2</v>
      </c>
      <c r="AM77">
        <v>5.6</v>
      </c>
      <c r="AN77">
        <v>5.5</v>
      </c>
      <c r="AO77">
        <v>6</v>
      </c>
      <c r="AP77">
        <v>5.6</v>
      </c>
      <c r="AQ77">
        <v>6.1</v>
      </c>
      <c r="AR77">
        <v>5.7</v>
      </c>
      <c r="AS77">
        <v>6.2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  <c r="BF77">
        <v>6.1</v>
      </c>
      <c r="BG77">
        <v>6.6</v>
      </c>
      <c r="BH77">
        <v>6.2</v>
      </c>
      <c r="BI77">
        <v>6.7</v>
      </c>
      <c r="BJ77">
        <v>6.3</v>
      </c>
      <c r="BK77">
        <v>6.8</v>
      </c>
      <c r="BL77">
        <f t="shared" si="5"/>
        <v>6.3999999999999995</v>
      </c>
      <c r="BM77">
        <v>6.8</v>
      </c>
    </row>
    <row r="78" spans="7:65" hidden="1" x14ac:dyDescent="0.2">
      <c r="AA78" t="s">
        <v>163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163</v>
      </c>
      <c r="AL78">
        <v>6.8</v>
      </c>
      <c r="AM78">
        <v>7.2</v>
      </c>
      <c r="AN78">
        <v>7.3</v>
      </c>
      <c r="AO78">
        <v>7.8</v>
      </c>
      <c r="AP78">
        <v>7.4</v>
      </c>
      <c r="AQ78">
        <v>7.8</v>
      </c>
      <c r="AR78">
        <v>7.4</v>
      </c>
      <c r="AS78">
        <v>7.9</v>
      </c>
      <c r="AU78" t="s">
        <v>163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9</v>
      </c>
      <c r="BE78" t="s">
        <v>163</v>
      </c>
      <c r="BF78">
        <v>7.8</v>
      </c>
      <c r="BG78">
        <v>8.3000000000000007</v>
      </c>
      <c r="BH78">
        <v>7.9</v>
      </c>
      <c r="BI78">
        <v>8.4</v>
      </c>
      <c r="BJ78">
        <v>7.9</v>
      </c>
      <c r="BK78">
        <v>8.5</v>
      </c>
      <c r="BL78">
        <v>8</v>
      </c>
      <c r="BM78">
        <v>8.6</v>
      </c>
    </row>
    <row r="79" spans="7:65" hidden="1" x14ac:dyDescent="0.2">
      <c r="G79" t="s">
        <v>50</v>
      </c>
      <c r="Q79" t="s">
        <v>50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L79">
        <v>6.4</v>
      </c>
      <c r="AM79">
        <v>6.4</v>
      </c>
      <c r="AN79">
        <v>6.9</v>
      </c>
      <c r="AO79">
        <v>7.4</v>
      </c>
      <c r="AP79">
        <v>7</v>
      </c>
      <c r="AQ79">
        <v>7.5</v>
      </c>
      <c r="AR79">
        <v>7.1</v>
      </c>
      <c r="AS79">
        <v>7.6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  <c r="BF79">
        <v>7.5</v>
      </c>
      <c r="BG79">
        <v>8</v>
      </c>
      <c r="BH79">
        <v>7.6</v>
      </c>
      <c r="BI79">
        <v>8.1</v>
      </c>
      <c r="BJ79">
        <v>7.7</v>
      </c>
      <c r="BK79">
        <v>8.1999999999999993</v>
      </c>
      <c r="BL79">
        <v>7.7</v>
      </c>
      <c r="BM79">
        <v>8.1999999999999993</v>
      </c>
    </row>
    <row r="80" spans="7:65" hidden="1" x14ac:dyDescent="0.2">
      <c r="G80" t="s">
        <v>76</v>
      </c>
      <c r="Q80" t="s">
        <v>76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L80">
        <v>6.2</v>
      </c>
      <c r="AM80">
        <v>6.2</v>
      </c>
      <c r="AN80">
        <v>6.6</v>
      </c>
      <c r="AO80">
        <v>7.2</v>
      </c>
      <c r="AP80">
        <v>6.7</v>
      </c>
      <c r="AQ80">
        <v>7.3</v>
      </c>
      <c r="AR80">
        <v>6.8</v>
      </c>
      <c r="AS80">
        <v>7.4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  <c r="BF80">
        <v>7.2</v>
      </c>
      <c r="BG80">
        <v>7.8</v>
      </c>
      <c r="BH80">
        <v>7.3</v>
      </c>
      <c r="BI80">
        <v>7.9</v>
      </c>
      <c r="BJ80">
        <v>7.4</v>
      </c>
      <c r="BK80">
        <v>8</v>
      </c>
      <c r="BL80">
        <f t="shared" si="5"/>
        <v>7.5</v>
      </c>
      <c r="BM80">
        <v>8</v>
      </c>
    </row>
    <row r="81" spans="2:65" hidden="1" x14ac:dyDescent="0.2">
      <c r="G81" t="s">
        <v>77</v>
      </c>
      <c r="Q81" t="s">
        <v>77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L81">
        <v>6</v>
      </c>
      <c r="AM81">
        <v>6</v>
      </c>
      <c r="AN81">
        <v>6.4</v>
      </c>
      <c r="AO81">
        <v>6.9</v>
      </c>
      <c r="AP81">
        <v>6.5</v>
      </c>
      <c r="AQ81">
        <v>7</v>
      </c>
      <c r="AR81">
        <v>6.6</v>
      </c>
      <c r="AS81">
        <v>7.1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  <c r="BF81">
        <v>7</v>
      </c>
      <c r="BG81">
        <v>7.5</v>
      </c>
      <c r="BH81">
        <v>7.1</v>
      </c>
      <c r="BI81">
        <v>7.6</v>
      </c>
      <c r="BJ81">
        <v>7.2</v>
      </c>
      <c r="BK81">
        <v>7.7</v>
      </c>
      <c r="BL81">
        <f t="shared" si="5"/>
        <v>7.3</v>
      </c>
      <c r="BM81">
        <v>7.7</v>
      </c>
    </row>
    <row r="82" spans="2:65" hidden="1" x14ac:dyDescent="0.2">
      <c r="G82" t="s">
        <v>46</v>
      </c>
      <c r="Q82" t="s">
        <v>46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L82">
        <v>5.8</v>
      </c>
      <c r="AM82">
        <v>5.8</v>
      </c>
      <c r="AN82">
        <v>6.2</v>
      </c>
      <c r="AO82">
        <v>6.7</v>
      </c>
      <c r="AP82">
        <v>6.3</v>
      </c>
      <c r="AQ82">
        <v>6.8</v>
      </c>
      <c r="AR82">
        <v>6.4</v>
      </c>
      <c r="AS82">
        <v>6.9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  <c r="BF82">
        <v>6.8</v>
      </c>
      <c r="BG82">
        <v>7.2</v>
      </c>
      <c r="BH82">
        <v>6.9</v>
      </c>
      <c r="BI82">
        <v>7.3</v>
      </c>
      <c r="BJ82">
        <v>7</v>
      </c>
      <c r="BK82">
        <v>7.4</v>
      </c>
      <c r="BL82">
        <f t="shared" si="5"/>
        <v>7.1</v>
      </c>
      <c r="BM82">
        <v>7.4</v>
      </c>
    </row>
    <row r="83" spans="2:65" hidden="1" x14ac:dyDescent="0.2">
      <c r="G83" t="s">
        <v>82</v>
      </c>
      <c r="Q83" t="s">
        <v>82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L83">
        <v>5.6</v>
      </c>
      <c r="AM83">
        <v>5.7</v>
      </c>
      <c r="AN83">
        <v>6</v>
      </c>
      <c r="AO83">
        <v>6.5</v>
      </c>
      <c r="AP83">
        <v>6.1</v>
      </c>
      <c r="AQ83">
        <v>6.6</v>
      </c>
      <c r="AR83">
        <v>6.2</v>
      </c>
      <c r="AS83">
        <v>6.7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  <c r="BF83">
        <v>6.6</v>
      </c>
      <c r="BG83">
        <v>6.9</v>
      </c>
      <c r="BH83">
        <v>6.7</v>
      </c>
      <c r="BI83">
        <v>7</v>
      </c>
      <c r="BJ83">
        <v>6.8</v>
      </c>
      <c r="BK83">
        <v>7.1</v>
      </c>
      <c r="BL83">
        <f t="shared" si="5"/>
        <v>6.8999999999999995</v>
      </c>
      <c r="BM83">
        <v>7.1</v>
      </c>
    </row>
    <row r="84" spans="2:65" hidden="1" x14ac:dyDescent="0.2">
      <c r="G84" t="s">
        <v>45</v>
      </c>
      <c r="Q84" t="s">
        <v>45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L84">
        <v>5.2</v>
      </c>
      <c r="AM84">
        <v>5.6</v>
      </c>
      <c r="AN84">
        <v>5.5</v>
      </c>
      <c r="AO84">
        <v>6.2</v>
      </c>
      <c r="AP84">
        <v>5.7</v>
      </c>
      <c r="AQ84">
        <v>6.4</v>
      </c>
      <c r="AR84">
        <v>5.9</v>
      </c>
      <c r="AS84">
        <v>6.5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  <c r="BF84">
        <v>6.2</v>
      </c>
      <c r="BG84">
        <v>6.6</v>
      </c>
      <c r="BH84">
        <v>6.3</v>
      </c>
      <c r="BI84">
        <v>6.8</v>
      </c>
      <c r="BJ84">
        <v>6.4</v>
      </c>
      <c r="BK84">
        <v>6.9</v>
      </c>
      <c r="BL84">
        <f t="shared" si="5"/>
        <v>6.5</v>
      </c>
      <c r="BM84">
        <v>6.9</v>
      </c>
    </row>
    <row r="85" spans="2:65" hidden="1" x14ac:dyDescent="0.2">
      <c r="G85" t="s">
        <v>68</v>
      </c>
      <c r="Q85" t="s">
        <v>68</v>
      </c>
      <c r="AA85" t="s">
        <v>68</v>
      </c>
      <c r="AB85">
        <v>5.6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L85">
        <v>5</v>
      </c>
      <c r="AM85">
        <v>5.4</v>
      </c>
      <c r="AN85">
        <v>5.3</v>
      </c>
      <c r="AO85">
        <v>5.8</v>
      </c>
      <c r="AP85">
        <v>5.5</v>
      </c>
      <c r="AQ85">
        <v>5.9</v>
      </c>
      <c r="AR85">
        <v>5.7</v>
      </c>
      <c r="AS85">
        <v>6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  <c r="BF85">
        <v>5.9</v>
      </c>
      <c r="BG85">
        <v>6.4</v>
      </c>
      <c r="BH85">
        <v>6</v>
      </c>
      <c r="BI85">
        <v>6.6</v>
      </c>
      <c r="BJ85">
        <v>6.1</v>
      </c>
      <c r="BK85">
        <v>6.6</v>
      </c>
      <c r="BL85">
        <f t="shared" si="5"/>
        <v>6.1999999999999993</v>
      </c>
      <c r="BM85">
        <v>6.6</v>
      </c>
    </row>
    <row r="86" spans="2:65" hidden="1" x14ac:dyDescent="0.2">
      <c r="G86" t="s">
        <v>71</v>
      </c>
      <c r="H86" s="236"/>
      <c r="I86" s="236"/>
      <c r="J86" s="236"/>
      <c r="K86" s="236"/>
      <c r="L86" s="236"/>
      <c r="M86" s="236"/>
      <c r="N86" s="236"/>
      <c r="O86" s="236"/>
      <c r="R86" s="236">
        <v>179</v>
      </c>
      <c r="S86" s="236"/>
      <c r="T86" s="236">
        <v>244</v>
      </c>
      <c r="U86" s="236"/>
      <c r="V86" s="236">
        <v>267</v>
      </c>
      <c r="W86" s="236"/>
      <c r="X86" s="236">
        <v>290</v>
      </c>
      <c r="Y86" s="236"/>
      <c r="AB86" s="236">
        <v>253</v>
      </c>
      <c r="AC86" s="236"/>
      <c r="AD86" s="236">
        <v>273</v>
      </c>
      <c r="AE86" s="236"/>
      <c r="AF86" s="236">
        <v>296</v>
      </c>
      <c r="AG86" s="236"/>
      <c r="AH86" s="236">
        <v>319</v>
      </c>
      <c r="AI86" s="236"/>
      <c r="AL86" s="236">
        <v>253</v>
      </c>
      <c r="AM86" s="236"/>
      <c r="AN86" s="236">
        <v>273</v>
      </c>
      <c r="AO86" s="236"/>
      <c r="AP86" s="236">
        <v>296</v>
      </c>
      <c r="AQ86" s="236"/>
      <c r="AR86" s="236">
        <v>319</v>
      </c>
      <c r="AS86" s="236"/>
      <c r="AV86" s="236">
        <v>322</v>
      </c>
      <c r="AW86" s="236"/>
      <c r="AX86" s="236">
        <v>345</v>
      </c>
      <c r="AY86" s="236"/>
      <c r="AZ86" s="236">
        <v>368</v>
      </c>
      <c r="BA86" s="236"/>
      <c r="BB86" s="236">
        <v>391</v>
      </c>
      <c r="BC86" s="236"/>
      <c r="BF86" s="236">
        <v>322</v>
      </c>
      <c r="BG86" s="236"/>
      <c r="BH86" s="236">
        <v>345</v>
      </c>
      <c r="BI86" s="236"/>
      <c r="BJ86" s="236">
        <v>368</v>
      </c>
      <c r="BK86" s="236"/>
      <c r="BL86" s="236">
        <v>391</v>
      </c>
      <c r="BM86" s="236"/>
    </row>
    <row r="87" spans="2:65" hidden="1" x14ac:dyDescent="0.2">
      <c r="G87" t="s">
        <v>72</v>
      </c>
      <c r="H87" s="236"/>
      <c r="I87" s="236"/>
      <c r="J87" s="236"/>
      <c r="K87" s="236"/>
      <c r="L87" s="236"/>
      <c r="M87" s="236"/>
      <c r="N87" s="236"/>
      <c r="O87" s="236"/>
      <c r="R87" s="236">
        <v>61</v>
      </c>
      <c r="S87" s="236"/>
      <c r="T87" s="236">
        <v>65.5</v>
      </c>
      <c r="U87" s="236"/>
      <c r="V87" s="236">
        <v>75.5</v>
      </c>
      <c r="W87" s="236"/>
      <c r="X87" s="236">
        <v>83.5</v>
      </c>
      <c r="Y87" s="236"/>
      <c r="AB87" s="236">
        <v>76</v>
      </c>
      <c r="AC87" s="236"/>
      <c r="AD87" s="236">
        <v>78.5</v>
      </c>
      <c r="AE87" s="236"/>
      <c r="AF87" s="236">
        <v>86</v>
      </c>
      <c r="AG87" s="236"/>
      <c r="AH87" s="236">
        <v>96</v>
      </c>
      <c r="AI87" s="236"/>
      <c r="AL87" s="236">
        <v>76</v>
      </c>
      <c r="AM87" s="236"/>
      <c r="AN87" s="236">
        <v>78.5</v>
      </c>
      <c r="AO87" s="236"/>
      <c r="AP87" s="236">
        <v>86</v>
      </c>
      <c r="AQ87" s="236"/>
      <c r="AR87" s="236">
        <v>96</v>
      </c>
      <c r="AS87" s="236"/>
      <c r="AV87" s="236">
        <v>93</v>
      </c>
      <c r="AW87" s="236"/>
      <c r="AX87" s="236">
        <v>103</v>
      </c>
      <c r="AY87" s="236"/>
      <c r="AZ87" s="236">
        <v>113</v>
      </c>
      <c r="BA87" s="236"/>
      <c r="BB87" s="236">
        <v>123</v>
      </c>
      <c r="BC87" s="236"/>
      <c r="BF87" s="236">
        <v>93</v>
      </c>
      <c r="BG87" s="236"/>
      <c r="BH87" s="236">
        <v>103</v>
      </c>
      <c r="BI87" s="236"/>
      <c r="BJ87" s="236">
        <v>113</v>
      </c>
      <c r="BK87" s="236"/>
      <c r="BL87" s="236">
        <v>123</v>
      </c>
      <c r="BM87" s="236"/>
    </row>
    <row r="88" spans="2:65" hidden="1" x14ac:dyDescent="0.2">
      <c r="E88" t="s">
        <v>49</v>
      </c>
      <c r="G88" t="str">
        <f>+DIM!$AK$20&amp;"+"&amp;DIM!$S$14</f>
        <v>251+250</v>
      </c>
      <c r="H88" s="100">
        <f>+VLOOKUP($G$88,$G$62:$O$85,2,FALSE)</f>
        <v>0</v>
      </c>
      <c r="I88" s="100">
        <f>+VLOOKUP($G$88,$G$62:$O$85,3,FALSE)</f>
        <v>0</v>
      </c>
      <c r="J88" s="100">
        <f>+VLOOKUP($G$88,$G$62:$O$85,4,FALSE)</f>
        <v>0</v>
      </c>
      <c r="K88" s="100">
        <f>+VLOOKUP($G$88,$G$62:$O$85,5,FALSE)</f>
        <v>0</v>
      </c>
      <c r="L88" s="100">
        <f>+VLOOKUP($G$88,$G$62:$O$85,6,FALSE)</f>
        <v>0</v>
      </c>
      <c r="M88" s="100">
        <f>+VLOOKUP($G$88,$G$62:$O$85,7,FALSE)</f>
        <v>0</v>
      </c>
      <c r="N88" s="100">
        <f>+VLOOKUP($G$88,$G$62:$O$85,8,FALSE)</f>
        <v>0</v>
      </c>
      <c r="O88" s="100">
        <f>+VLOOKUP($G$88,$G$62:$O$85,9,FALSE)</f>
        <v>0</v>
      </c>
      <c r="Q88" t="str">
        <f>+DIM!$AK$20&amp;"+"&amp;DIM!$S$14</f>
        <v>251+250</v>
      </c>
      <c r="R88" s="100">
        <f>+VLOOKUP($Q$88,$Q$62:$Y$85,2,FALSE)</f>
        <v>0</v>
      </c>
      <c r="S88" s="100">
        <f>+VLOOKUP($Q$88,$Q$62:$Y$85,3,FALSE)</f>
        <v>0</v>
      </c>
      <c r="T88" s="100">
        <f>+VLOOKUP($Q$88,$Q$62:$Y$85,4,FALSE)</f>
        <v>0</v>
      </c>
      <c r="U88" s="100">
        <f>+VLOOKUP($Q$88,$Q$62:$Y$85,5,FALSE)</f>
        <v>0</v>
      </c>
      <c r="V88" s="100">
        <f>+VLOOKUP($Q$88,$Q$62:$Y$85,6,FALSE)</f>
        <v>0</v>
      </c>
      <c r="W88" s="100">
        <f>+VLOOKUP($Q$88,$Q$62:$Y$85,7,FALSE)</f>
        <v>0</v>
      </c>
      <c r="X88" s="100">
        <f>+VLOOKUP($Q$88,$Q$62:$Y$85,8,FALSE)</f>
        <v>0</v>
      </c>
      <c r="Y88" s="100">
        <f>+VLOOKUP($Q$88,$Q$62:$Y$85,9,FALSE)</f>
        <v>0</v>
      </c>
      <c r="AA88" t="str">
        <f>+DIM!$AK$20&amp;"+"&amp;DIM!$S$14</f>
        <v>251+250</v>
      </c>
      <c r="AB88" s="100">
        <f>+VLOOKUP($AA$88,$AA$62:$AI$87,2,FALSE)</f>
        <v>6.25</v>
      </c>
      <c r="AC88" s="100">
        <f>+VLOOKUP($AA$88,$AA$62:$AI$87,3,FALSE)</f>
        <v>6.75</v>
      </c>
      <c r="AD88" s="100">
        <f>+VLOOKUP($AA$88,$AA$62:$AI$87,4,FALSE)</f>
        <v>6.7</v>
      </c>
      <c r="AE88" s="100">
        <f>+VLOOKUP($AA$88,$AA$62:$AI$87,5,FALSE)</f>
        <v>7.2</v>
      </c>
      <c r="AF88" s="100">
        <f>+VLOOKUP($AA$88,$AA$62:$AI$87,6,FALSE)</f>
        <v>6.8</v>
      </c>
      <c r="AG88" s="100">
        <f>+VLOOKUP($AA$88,$AA$62:$AI$87,7,FALSE)</f>
        <v>7.4</v>
      </c>
      <c r="AH88" s="100">
        <f>+VLOOKUP($AA$88,$AA$62:$AI$87,8,FALSE)</f>
        <v>7</v>
      </c>
      <c r="AI88" s="100">
        <f>+VLOOKUP($AA$88,$AA$62:$AI$87,9,FALSE)</f>
        <v>7.6</v>
      </c>
      <c r="AK88" t="str">
        <f>+DIM!$AK$20&amp;"+"&amp;DIM!$S$14</f>
        <v>251+250</v>
      </c>
      <c r="AL88" s="100">
        <f>+VLOOKUP($AK$88,$AK$62:$AS$87,2,FALSE)</f>
        <v>6.1</v>
      </c>
      <c r="AM88" s="100">
        <f>+VLOOKUP($AK$88,$AK$62:$AS$87,3,FALSE)</f>
        <v>6.4</v>
      </c>
      <c r="AN88" s="100">
        <f>+VLOOKUP($AK$88,$AK$62:$AS$87,4,FALSE)</f>
        <v>6.5</v>
      </c>
      <c r="AO88" s="100">
        <f>+VLOOKUP($AK$88,$AK$62:$AS$87,5,FALSE)</f>
        <v>7</v>
      </c>
      <c r="AP88" s="100">
        <f>+VLOOKUP($AK$88,$AK$62:$AS$87,6,FALSE)</f>
        <v>6.6</v>
      </c>
      <c r="AQ88" s="100">
        <f>+VLOOKUP($AK$88,$AK$62:$AS$87,7,FALSE)</f>
        <v>7.1</v>
      </c>
      <c r="AR88" s="100">
        <f>+VLOOKUP($AK$88,$AK$62:$AS$87,8,FALSE)</f>
        <v>6.7</v>
      </c>
      <c r="AS88" s="100">
        <f>+VLOOKUP($AK$88,$AK$62:$AS$87,9,FALSE)</f>
        <v>7.2</v>
      </c>
      <c r="AU88" t="str">
        <f>+DIM!$AK$20&amp;"+"&amp;DIM!$S$14</f>
        <v>251+250</v>
      </c>
      <c r="AV88" s="100">
        <f>+VLOOKUP($AU$88,$AU$62:$BC$87,2,FALSE)</f>
        <v>7.45</v>
      </c>
      <c r="AW88" s="100">
        <f>+VLOOKUP($AU$88,$AU$62:$BC$87,3,FALSE)</f>
        <v>8.1</v>
      </c>
      <c r="AX88" s="100">
        <f>+VLOOKUP($AU$88,$AU$62:$BC$87,4,FALSE)</f>
        <v>7.65</v>
      </c>
      <c r="AY88" s="100">
        <f>+VLOOKUP($AU$88,$AU$62:$BC$87,5,FALSE)</f>
        <v>8.3000000000000007</v>
      </c>
      <c r="AZ88" s="100">
        <f>+VLOOKUP($AU$88,$AU$62:$BC$87,6,FALSE)</f>
        <v>7.85</v>
      </c>
      <c r="BA88" s="100">
        <f>+VLOOKUP($AU$88,$AU$62:$BC$87,7,FALSE)</f>
        <v>8.5</v>
      </c>
      <c r="BB88" s="100">
        <f>+VLOOKUP($AU$88,$AU$62:$BC$87,8,FALSE)</f>
        <v>8.0500000000000007</v>
      </c>
      <c r="BC88" s="100">
        <f>+VLOOKUP($AU$88,$AU$62:$BC$87,9,FALSE)</f>
        <v>8.6999999999999993</v>
      </c>
      <c r="BE88" t="str">
        <f>+DIM!$AK$20&amp;"+"&amp;DIM!$S$14</f>
        <v>251+250</v>
      </c>
      <c r="BF88" s="100">
        <f>+VLOOKUP($BE$88,$BE$62:$BM$85,2,FALSE)</f>
        <v>7.1</v>
      </c>
      <c r="BG88" s="100">
        <f>+VLOOKUP($BE$88,$BE$62:$BM$85,3,FALSE)</f>
        <v>7.6</v>
      </c>
      <c r="BH88" s="100">
        <f>+VLOOKUP($BE$88,$BE$62:$BM$85,4,FALSE)</f>
        <v>7.2</v>
      </c>
      <c r="BI88" s="100">
        <f>+VLOOKUP($BE$88,$BE$62:$BM$85,5,FALSE)</f>
        <v>7.7</v>
      </c>
      <c r="BJ88" s="100">
        <f>+VLOOKUP($BE$88,$BE$62:$BM$85,6,FALSE)</f>
        <v>7.3</v>
      </c>
      <c r="BK88" s="100">
        <f>+VLOOKUP($BE$88,$BE$62:$BM$85,7,FALSE)</f>
        <v>7.8</v>
      </c>
      <c r="BL88" s="100">
        <f>+VLOOKUP($BE$88,$BE$62:$BM$85,8,FALSE)</f>
        <v>7.5</v>
      </c>
      <c r="BM88" s="100">
        <f>+VLOOKUP($BE$88,$BE$62:$BM$85,9,FALSE)</f>
        <v>7.8</v>
      </c>
    </row>
    <row r="89" spans="2:65" hidden="1" x14ac:dyDescent="0.2">
      <c r="F89" t="s">
        <v>47</v>
      </c>
      <c r="G89">
        <f>+DIM!AD62</f>
        <v>0</v>
      </c>
      <c r="H89" s="235"/>
      <c r="I89" s="235"/>
      <c r="J89" s="235"/>
      <c r="K89" s="235"/>
      <c r="L89" s="235"/>
      <c r="M89" s="235"/>
      <c r="N89" s="235"/>
      <c r="O89" s="235"/>
      <c r="Q89" t="str">
        <f>+DIM!AD15</f>
        <v>1C</v>
      </c>
      <c r="R89" s="238">
        <f>+IF(DIM!$AD$15=$H$15,R88,S88)</f>
        <v>0</v>
      </c>
      <c r="S89" s="239"/>
      <c r="T89" s="238">
        <f>+IF(DIM!$AD$15=$H$15,T88,U88)</f>
        <v>0</v>
      </c>
      <c r="U89" s="239"/>
      <c r="V89" s="238">
        <f>+IF(DIM!$AD$15=$H$15,V88,W88)</f>
        <v>0</v>
      </c>
      <c r="W89" s="239"/>
      <c r="X89" s="238">
        <f>+IF(DIM!$AD$15=$H$15,X88,Y88)</f>
        <v>0</v>
      </c>
      <c r="Y89" s="239"/>
      <c r="AA89" t="str">
        <f>+DIM!AD15</f>
        <v>1C</v>
      </c>
      <c r="AB89" s="238">
        <f>+IF(DIM!$AD$15=$H$15,AB88,AC88)</f>
        <v>6.75</v>
      </c>
      <c r="AC89" s="239"/>
      <c r="AD89" s="238">
        <f>+IF(DIM!$AD$15=$H$15,AD88,AE88)</f>
        <v>7.2</v>
      </c>
      <c r="AE89" s="239"/>
      <c r="AF89" s="238">
        <f>+IF(DIM!$AD$15=$H$15,AF88,AG88)</f>
        <v>7.4</v>
      </c>
      <c r="AG89" s="239"/>
      <c r="AH89" s="238">
        <f>+IF(DIM!$AD$15=$H$15,AH88,AI88)</f>
        <v>7.6</v>
      </c>
      <c r="AI89" s="239"/>
      <c r="AK89" t="str">
        <f>+DIM!AD15</f>
        <v>1C</v>
      </c>
      <c r="AL89" s="238">
        <f>+IF(DIM!$AD$15=$H$15,AL88,AM88)</f>
        <v>6.4</v>
      </c>
      <c r="AM89" s="239"/>
      <c r="AN89" s="238">
        <f>+IF(DIM!$AD$15=$H$15,AN88,AO88)</f>
        <v>7</v>
      </c>
      <c r="AO89" s="239"/>
      <c r="AP89" s="238">
        <f>+IF(DIM!$AD$15=$H$15,AP88,AQ88)</f>
        <v>7.1</v>
      </c>
      <c r="AQ89" s="239"/>
      <c r="AR89" s="238">
        <f>+IF(DIM!$AD$15=$H$15,AR88,AS88)</f>
        <v>7.2</v>
      </c>
      <c r="AS89" s="239"/>
      <c r="AU89" t="str">
        <f>+AK89</f>
        <v>1C</v>
      </c>
      <c r="AV89" s="238">
        <f>+IF(DIM!$AD$15=$H$15,AV88,AW88)</f>
        <v>8.1</v>
      </c>
      <c r="AW89" s="239"/>
      <c r="AX89" s="238">
        <f>+IF(DIM!$AD$15=$H$15,AX88,AY88)</f>
        <v>8.3000000000000007</v>
      </c>
      <c r="AY89" s="239"/>
      <c r="AZ89" s="238">
        <f>+IF(DIM!$AD$15=$H$15,AZ88,BA88)</f>
        <v>8.5</v>
      </c>
      <c r="BA89" s="239"/>
      <c r="BB89" s="238">
        <f>+IF(DIM!$AD$15=$H$15,BB88,BC88)</f>
        <v>8.6999999999999993</v>
      </c>
      <c r="BC89" s="239"/>
      <c r="BE89" t="str">
        <f>+AU89</f>
        <v>1C</v>
      </c>
      <c r="BF89" s="238">
        <f>+IF(DIM!$AD$15=$H$15,BF88,BG88)</f>
        <v>7.6</v>
      </c>
      <c r="BG89" s="239"/>
      <c r="BH89" s="238">
        <f>+IF(DIM!$AD$15=$H$15,BH88,BI88)</f>
        <v>7.7</v>
      </c>
      <c r="BI89" s="239"/>
      <c r="BJ89" s="238">
        <f>+IF(DIM!$AD$15=$H$15,BJ88,BK88)</f>
        <v>7.8</v>
      </c>
      <c r="BK89" s="239"/>
      <c r="BL89" s="238">
        <f>+IF(DIM!$AD$15=$H$15,BL88,BM88)</f>
        <v>7.8</v>
      </c>
      <c r="BM89" s="239"/>
    </row>
    <row r="90" spans="2:65" hidden="1" x14ac:dyDescent="0.2">
      <c r="B90" t="str">
        <f>IF(E91&gt;20,"hauteur hourdis non disponible",IF(E91=12,"hauteur hourdis 15 mini pour jumelage",+"plancher"&amp;" "&amp;"PREDAL-SACOUSTIC"&amp;" "&amp;E91&amp;" "&amp;"+" &amp;" "&amp;G90&amp;" jum"))</f>
        <v>plancher PREDAL-SACOUSTIC 15 + 5 jum</v>
      </c>
      <c r="F90" t="s">
        <v>48</v>
      </c>
      <c r="G90" s="100">
        <f>+DIM!S32</f>
        <v>5</v>
      </c>
      <c r="K90" s="102">
        <v>0</v>
      </c>
      <c r="Q90" s="100">
        <f>+DIM!S32</f>
        <v>5</v>
      </c>
      <c r="U90" s="102">
        <f>+HLOOKUP(Q90,R60:Y89,27,FALSE)</f>
        <v>179</v>
      </c>
      <c r="AA90" s="100">
        <f>+DIM!S32</f>
        <v>5</v>
      </c>
      <c r="AE90" s="102">
        <f>+HLOOKUP(AA90,AB60:AI89,30,FALSE)</f>
        <v>6.75</v>
      </c>
      <c r="AK90" s="100">
        <f>+DIM!S32</f>
        <v>5</v>
      </c>
      <c r="AO90" s="102">
        <f>+HLOOKUP(AK90,AL60:AS89,30,FALSE)</f>
        <v>6.4</v>
      </c>
      <c r="AU90" s="100">
        <f>+AK90</f>
        <v>5</v>
      </c>
      <c r="AY90" s="102">
        <f>+HLOOKUP(AU90,AV60:BC89,30,FALSE)</f>
        <v>8.1</v>
      </c>
      <c r="BE90" s="101">
        <f>+AU90</f>
        <v>5</v>
      </c>
      <c r="BI90" s="102">
        <f>+HLOOKUP(BE90,BF60:BM89,30,FALSE)</f>
        <v>7.6</v>
      </c>
    </row>
    <row r="91" spans="2:65" hidden="1" x14ac:dyDescent="0.2">
      <c r="E91">
        <f>+DIM!Q32</f>
        <v>15</v>
      </c>
      <c r="F91" t="s">
        <v>65</v>
      </c>
      <c r="G91" t="str">
        <f>IF(E91&gt;20,"hauteur hourdis non disponible",IF(E91=12,"hauteur hourdis 15 mini pour jumelage",+"plancher"&amp;" "&amp;"EBS"&amp;" "&amp;E91&amp;" "&amp;"+" &amp;" "&amp;G90&amp;" jum"))</f>
        <v>plancher EBS 15 + 5 jum</v>
      </c>
      <c r="K91" s="103" t="str">
        <f>+K56&amp;"+"&amp;G90&amp;" "&amp;L56</f>
        <v>12+5 JUM</v>
      </c>
      <c r="U91" s="103" t="str">
        <f>+U56&amp;"+"&amp;Q90&amp;" "&amp;V56</f>
        <v>12+5 JUM</v>
      </c>
      <c r="AE91" s="103" t="str">
        <f>+AE56&amp;"+"&amp;AA90&amp;" "&amp;AF56</f>
        <v>15+5 JUM</v>
      </c>
      <c r="AO91" s="103" t="str">
        <f>+AO56&amp;"+"&amp;AK90&amp;" "&amp;AP56</f>
        <v>15+5 JUM</v>
      </c>
      <c r="AY91" s="103" t="str">
        <f>+AY56&amp;"+"&amp;AU90&amp;" "&amp;AZ56</f>
        <v>20+5 JUM</v>
      </c>
      <c r="BI91" s="103" t="str">
        <f>+BI56&amp;"+"&amp;BE90&amp;" "&amp;BJ56</f>
        <v>20+5 JUM</v>
      </c>
    </row>
    <row r="92" spans="2:65" hidden="1" x14ac:dyDescent="0.2">
      <c r="F92" t="s">
        <v>61</v>
      </c>
      <c r="G92">
        <f>+DIM!L22</f>
        <v>30</v>
      </c>
      <c r="K92" s="98">
        <f>+HLOOKUP(G90,H60:O86,24,FALSE)</f>
        <v>0</v>
      </c>
      <c r="U92" s="98">
        <f>+HLOOKUP(Q90,R60:Y86,24,FALSE)</f>
        <v>0</v>
      </c>
      <c r="AE92" s="98">
        <f>+HLOOKUP(AA90,AB60:AI86,27,FALSE)</f>
        <v>253</v>
      </c>
      <c r="AO92" s="98">
        <f>+HLOOKUP(AK90,AL60:AS86,27,FALSE)</f>
        <v>253</v>
      </c>
      <c r="AY92" s="98">
        <f>+HLOOKUP(AU90,AV60:BC86,27,FALSE)</f>
        <v>322</v>
      </c>
      <c r="BI92" s="98">
        <f>+HLOOKUP(BE90,BF60:BM86,27,FALSE)</f>
        <v>322</v>
      </c>
    </row>
    <row r="93" spans="2:65" hidden="1" x14ac:dyDescent="0.2">
      <c r="F93">
        <v>12</v>
      </c>
      <c r="G93" t="s">
        <v>110</v>
      </c>
      <c r="H93">
        <v>0</v>
      </c>
      <c r="I93">
        <v>0</v>
      </c>
      <c r="J93">
        <f>+IF($G$46=30,K94,U94)</f>
        <v>19.600000000000001</v>
      </c>
      <c r="K93" s="98">
        <f>+HLOOKUP(G90,H60:O87,25,FALSE)</f>
        <v>0</v>
      </c>
      <c r="U93" s="98">
        <f>+HLOOKUP(Q90,R60:Y87,25,FALSE)</f>
        <v>0</v>
      </c>
      <c r="AE93" s="98">
        <f>+HLOOKUP(AA90,AB60:AI87,28,FALSE)</f>
        <v>76</v>
      </c>
      <c r="AO93" s="98">
        <f>+HLOOKUP(AK90,AL60:AS87,28,FALSE)</f>
        <v>76</v>
      </c>
      <c r="AY93" s="98">
        <f>+HLOOKUP(AU90,AV60:BC87,28,FALSE)</f>
        <v>93</v>
      </c>
      <c r="BI93" s="98">
        <f>+HLOOKUP(BE90,BF60:BM87,28,FALSE)</f>
        <v>93</v>
      </c>
    </row>
    <row r="94" spans="2:65" hidden="1" x14ac:dyDescent="0.2">
      <c r="F94">
        <v>15</v>
      </c>
      <c r="G94">
        <f>+IF($G$46=30,AE90,AO90)</f>
        <v>6.75</v>
      </c>
      <c r="H94">
        <f>+IF($G$46=30,AE92,AO92)</f>
        <v>253</v>
      </c>
      <c r="I94">
        <f>+IF($G$46=30,AE93,AO93)</f>
        <v>76</v>
      </c>
      <c r="J94">
        <f>+IF($G$46=30,AE94,AO94)</f>
        <v>21.47</v>
      </c>
      <c r="K94" s="98">
        <f>+HLOOKUP(K91,H101:O103,3,FALSE)</f>
        <v>19.600000000000001</v>
      </c>
      <c r="U94" s="98">
        <f>+HLOOKUP(U91,R101:Y103,3,FALSE)</f>
        <v>19.600000000000001</v>
      </c>
      <c r="AE94" s="98">
        <f>+HLOOKUP(AE91,AB101:AI103,3,FALSE)</f>
        <v>21.47</v>
      </c>
      <c r="AO94" s="98">
        <f>+HLOOKUP(AO91,AL101:AS103,3,FALSE)</f>
        <v>21.47</v>
      </c>
      <c r="AY94" s="98">
        <f>+HLOOKUP(AY91,AV101:BC103,3,FALSE)</f>
        <v>25.72</v>
      </c>
      <c r="BI94" s="98">
        <f>+HLOOKUP(BI91,BF101:BM103,3,FALSE)</f>
        <v>25.72</v>
      </c>
    </row>
    <row r="95" spans="2:65" ht="19.5" hidden="1" x14ac:dyDescent="0.35">
      <c r="F95">
        <v>20</v>
      </c>
      <c r="G95">
        <f>+IF($G$46=30,AY90,BI90)</f>
        <v>8.1</v>
      </c>
      <c r="H95">
        <f>+IF($G$46=30,AY92,BI92)</f>
        <v>322</v>
      </c>
      <c r="I95">
        <f>+IF($G$46=30,AY93,BI93)</f>
        <v>93</v>
      </c>
      <c r="J95">
        <f>+IF($G$46=30,AY94,BI94)</f>
        <v>25.72</v>
      </c>
      <c r="K95" s="97">
        <v>12</v>
      </c>
      <c r="L95" s="97" t="s">
        <v>87</v>
      </c>
      <c r="U95" s="97">
        <v>12</v>
      </c>
      <c r="V95" s="97" t="s">
        <v>87</v>
      </c>
      <c r="AE95" s="97">
        <v>15</v>
      </c>
      <c r="AF95" s="97" t="s">
        <v>87</v>
      </c>
      <c r="AG95" s="97" t="s">
        <v>96</v>
      </c>
      <c r="AO95" s="97">
        <v>15</v>
      </c>
      <c r="AP95" s="97" t="s">
        <v>87</v>
      </c>
      <c r="AQ95" s="97" t="s">
        <v>97</v>
      </c>
      <c r="AY95" s="97">
        <v>20</v>
      </c>
      <c r="AZ95" s="97" t="s">
        <v>87</v>
      </c>
      <c r="BA95" s="97" t="s">
        <v>96</v>
      </c>
      <c r="BI95" s="97">
        <v>20</v>
      </c>
      <c r="BJ95" s="97" t="s">
        <v>87</v>
      </c>
      <c r="BK95" s="97" t="s">
        <v>97</v>
      </c>
    </row>
    <row r="96" spans="2:65" hidden="1" x14ac:dyDescent="0.2">
      <c r="E96" t="s">
        <v>70</v>
      </c>
      <c r="F96" t="s">
        <v>74</v>
      </c>
      <c r="G96">
        <f>IF($E$91&gt;20,"--",+VLOOKUP(DIM!Q32,F93:I95,2,FALSE))</f>
        <v>6.75</v>
      </c>
      <c r="K96" s="98" t="s">
        <v>78</v>
      </c>
      <c r="U96" s="98"/>
      <c r="AE96" s="98" t="s">
        <v>84</v>
      </c>
      <c r="AO96" s="98" t="s">
        <v>78</v>
      </c>
      <c r="AY96" s="98" t="s">
        <v>84</v>
      </c>
      <c r="BI96" s="98" t="s">
        <v>78</v>
      </c>
    </row>
    <row r="97" spans="6:65" hidden="1" x14ac:dyDescent="0.2">
      <c r="F97" t="s">
        <v>75</v>
      </c>
      <c r="G97">
        <f>IF($E$91&gt;20,0,+VLOOKUP(DIM!Q32,F93:I95,3,FALSE))</f>
        <v>253</v>
      </c>
    </row>
    <row r="98" spans="6:65" hidden="1" x14ac:dyDescent="0.2">
      <c r="F98" t="s">
        <v>72</v>
      </c>
      <c r="G98">
        <f>IF($E$91&gt;20,0,+VLOOKUP(DIM!Q32,F93:I95,4,FALSE))</f>
        <v>76</v>
      </c>
    </row>
    <row r="99" spans="6:65" hidden="1" x14ac:dyDescent="0.2">
      <c r="F99" t="s">
        <v>274</v>
      </c>
      <c r="G99">
        <f>IF($E$91&gt;20,0,+VLOOKUP(DIM!Q32,F93:J95,5,FALSE))</f>
        <v>21.47</v>
      </c>
    </row>
    <row r="100" spans="6:65" hidden="1" x14ac:dyDescent="0.2"/>
    <row r="101" spans="6:65" hidden="1" x14ac:dyDescent="0.2">
      <c r="G101" t="s">
        <v>129</v>
      </c>
      <c r="H101" s="236" t="s">
        <v>302</v>
      </c>
      <c r="I101" s="236"/>
      <c r="J101" s="236" t="s">
        <v>303</v>
      </c>
      <c r="K101" s="236"/>
      <c r="L101" s="236" t="s">
        <v>304</v>
      </c>
      <c r="M101" s="236"/>
      <c r="N101" s="236" t="s">
        <v>305</v>
      </c>
      <c r="O101" s="236"/>
      <c r="Q101" t="s">
        <v>129</v>
      </c>
      <c r="R101" s="236" t="s">
        <v>302</v>
      </c>
      <c r="S101" s="236"/>
      <c r="T101" s="236" t="s">
        <v>303</v>
      </c>
      <c r="U101" s="236"/>
      <c r="V101" s="236" t="s">
        <v>304</v>
      </c>
      <c r="W101" s="236"/>
      <c r="X101" s="236" t="s">
        <v>305</v>
      </c>
      <c r="Y101" s="236"/>
      <c r="AA101" t="s">
        <v>129</v>
      </c>
      <c r="AB101" s="236" t="s">
        <v>306</v>
      </c>
      <c r="AC101" s="236"/>
      <c r="AD101" s="236" t="s">
        <v>307</v>
      </c>
      <c r="AE101" s="236"/>
      <c r="AF101" s="236" t="s">
        <v>308</v>
      </c>
      <c r="AG101" s="236"/>
      <c r="AH101" s="236" t="s">
        <v>309</v>
      </c>
      <c r="AI101" s="236"/>
      <c r="AK101" t="s">
        <v>129</v>
      </c>
      <c r="AL101" s="236" t="s">
        <v>306</v>
      </c>
      <c r="AM101" s="236"/>
      <c r="AN101" s="236" t="s">
        <v>307</v>
      </c>
      <c r="AO101" s="236"/>
      <c r="AP101" s="236" t="s">
        <v>308</v>
      </c>
      <c r="AQ101" s="236"/>
      <c r="AR101" s="236" t="s">
        <v>309</v>
      </c>
      <c r="AS101" s="236"/>
      <c r="AU101" t="s">
        <v>129</v>
      </c>
      <c r="AV101" s="236" t="s">
        <v>310</v>
      </c>
      <c r="AW101" s="236"/>
      <c r="AX101" s="236" t="s">
        <v>311</v>
      </c>
      <c r="AY101" s="236"/>
      <c r="AZ101" s="236" t="s">
        <v>312</v>
      </c>
      <c r="BA101" s="236"/>
      <c r="BB101" s="236" t="s">
        <v>313</v>
      </c>
      <c r="BC101" s="236"/>
      <c r="BE101" t="s">
        <v>129</v>
      </c>
      <c r="BF101" s="236" t="s">
        <v>310</v>
      </c>
      <c r="BG101" s="236"/>
      <c r="BH101" s="236" t="s">
        <v>311</v>
      </c>
      <c r="BI101" s="236"/>
      <c r="BJ101" s="236" t="s">
        <v>312</v>
      </c>
      <c r="BK101" s="236"/>
      <c r="BL101" s="236" t="s">
        <v>313</v>
      </c>
      <c r="BM101" s="236"/>
    </row>
    <row r="102" spans="6:65" hidden="1" x14ac:dyDescent="0.2">
      <c r="F102" s="100">
        <f>+DIM!S10-0.01</f>
        <v>4.99</v>
      </c>
      <c r="H102" s="236">
        <f>+IF(H89&gt;$F$102,1,0)</f>
        <v>0</v>
      </c>
      <c r="I102" s="236"/>
      <c r="J102" s="236">
        <f t="shared" ref="J102" si="6">+IF(J89&gt;$F$102,1,0)</f>
        <v>0</v>
      </c>
      <c r="K102" s="236"/>
      <c r="L102" s="236">
        <f t="shared" ref="L102" si="7">+IF(L89&gt;$F$102,1,0)</f>
        <v>0</v>
      </c>
      <c r="M102" s="236"/>
      <c r="N102" s="236">
        <f t="shared" ref="N102" si="8">+IF(N89&gt;$F$102,1,0)</f>
        <v>0</v>
      </c>
      <c r="O102" s="236"/>
      <c r="R102" s="236">
        <f t="shared" ref="R102:X102" si="9">+IF(R89&gt;$F$102,1,0)</f>
        <v>0</v>
      </c>
      <c r="S102" s="236"/>
      <c r="T102" s="236">
        <f t="shared" si="9"/>
        <v>0</v>
      </c>
      <c r="U102" s="236"/>
      <c r="V102" s="236">
        <f t="shared" si="9"/>
        <v>0</v>
      </c>
      <c r="W102" s="236"/>
      <c r="X102" s="236">
        <f t="shared" si="9"/>
        <v>0</v>
      </c>
      <c r="Y102" s="236"/>
      <c r="AB102" s="236">
        <f t="shared" ref="AB102:AH102" si="10">+IF(AB89&gt;$F$102,1,0)</f>
        <v>1</v>
      </c>
      <c r="AC102" s="236"/>
      <c r="AD102" s="236">
        <f t="shared" si="10"/>
        <v>1</v>
      </c>
      <c r="AE102" s="236"/>
      <c r="AF102" s="236">
        <f t="shared" si="10"/>
        <v>1</v>
      </c>
      <c r="AG102" s="236"/>
      <c r="AH102" s="236">
        <f t="shared" si="10"/>
        <v>1</v>
      </c>
      <c r="AI102" s="236"/>
      <c r="AL102" s="236">
        <f t="shared" ref="AL102:AR102" si="11">+IF(AL89&gt;$F$102,1,0)</f>
        <v>1</v>
      </c>
      <c r="AM102" s="236"/>
      <c r="AN102" s="236">
        <f t="shared" si="11"/>
        <v>1</v>
      </c>
      <c r="AO102" s="236"/>
      <c r="AP102" s="236">
        <f t="shared" si="11"/>
        <v>1</v>
      </c>
      <c r="AQ102" s="236"/>
      <c r="AR102" s="236">
        <f t="shared" si="11"/>
        <v>1</v>
      </c>
      <c r="AS102" s="236"/>
      <c r="AV102" s="236">
        <f t="shared" ref="AV102:BB102" si="12">+IF(AV89&gt;$F$102,1,0)</f>
        <v>1</v>
      </c>
      <c r="AW102" s="236"/>
      <c r="AX102" s="236">
        <f t="shared" si="12"/>
        <v>1</v>
      </c>
      <c r="AY102" s="236"/>
      <c r="AZ102" s="236">
        <f t="shared" si="12"/>
        <v>1</v>
      </c>
      <c r="BA102" s="236"/>
      <c r="BB102" s="236">
        <f t="shared" si="12"/>
        <v>1</v>
      </c>
      <c r="BC102" s="236"/>
      <c r="BF102" s="236">
        <f t="shared" ref="BF102:BL102" si="13">+IF(BF89&gt;$F$102,1,0)</f>
        <v>1</v>
      </c>
      <c r="BG102" s="236"/>
      <c r="BH102" s="236">
        <f t="shared" si="13"/>
        <v>1</v>
      </c>
      <c r="BI102" s="236"/>
      <c r="BJ102" s="236">
        <f t="shared" si="13"/>
        <v>1</v>
      </c>
      <c r="BK102" s="236"/>
      <c r="BL102" s="236">
        <f t="shared" si="13"/>
        <v>1</v>
      </c>
      <c r="BM102" s="236"/>
    </row>
    <row r="103" spans="6:65" hidden="1" x14ac:dyDescent="0.2">
      <c r="F103" s="100"/>
      <c r="H103">
        <v>19.600000000000001</v>
      </c>
      <c r="J103">
        <f>1.97+H103</f>
        <v>21.57</v>
      </c>
      <c r="L103">
        <f>3.94+H103</f>
        <v>23.540000000000003</v>
      </c>
      <c r="N103">
        <f>5.91+H103</f>
        <v>25.51</v>
      </c>
      <c r="O103" s="49"/>
      <c r="R103">
        <v>19.600000000000001</v>
      </c>
      <c r="T103">
        <f>1.97+R103</f>
        <v>21.57</v>
      </c>
      <c r="V103">
        <f>3.94+R103</f>
        <v>23.540000000000003</v>
      </c>
      <c r="X103">
        <f>5.91+R103</f>
        <v>25.51</v>
      </c>
      <c r="Y103" s="49"/>
      <c r="AB103">
        <v>21.47</v>
      </c>
      <c r="AD103">
        <f>1.97+AB103</f>
        <v>23.439999999999998</v>
      </c>
      <c r="AF103">
        <f>3.94+AB103</f>
        <v>25.41</v>
      </c>
      <c r="AH103">
        <f>5.91+AB103</f>
        <v>27.38</v>
      </c>
      <c r="AI103" s="49"/>
      <c r="AL103">
        <v>21.47</v>
      </c>
      <c r="AN103">
        <f>1.97+AL103</f>
        <v>23.439999999999998</v>
      </c>
      <c r="AP103">
        <f>3.94+AL103</f>
        <v>25.41</v>
      </c>
      <c r="AR103">
        <f>5.91+AL103</f>
        <v>27.38</v>
      </c>
      <c r="AV103">
        <v>25.72</v>
      </c>
      <c r="AX103">
        <f>1.97+AV103</f>
        <v>27.689999999999998</v>
      </c>
      <c r="AZ103">
        <f>3.94+AV103</f>
        <v>29.66</v>
      </c>
      <c r="BB103">
        <f>5.91+AV103</f>
        <v>31.63</v>
      </c>
      <c r="BF103">
        <v>25.72</v>
      </c>
      <c r="BH103">
        <f>1.97+BF103</f>
        <v>27.689999999999998</v>
      </c>
      <c r="BJ103">
        <f>3.94+BF103</f>
        <v>29.66</v>
      </c>
      <c r="BL103">
        <f>5.91+BF103</f>
        <v>31.63</v>
      </c>
      <c r="BM103" s="49"/>
    </row>
    <row r="104" spans="6:65" hidden="1" x14ac:dyDescent="0.2">
      <c r="F104" s="100"/>
      <c r="H104" s="49"/>
      <c r="J104" t="s">
        <v>143</v>
      </c>
      <c r="L104" t="s">
        <v>129</v>
      </c>
      <c r="T104" t="s">
        <v>144</v>
      </c>
      <c r="V104" t="s">
        <v>129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00"/>
      <c r="H105" s="49"/>
      <c r="K105">
        <f>+IF(H102=1,H101,IF(J102=1,J101,IF(L102=1,L101,IF(N102=1,N101,0))))</f>
        <v>0</v>
      </c>
      <c r="L105" t="str">
        <f>+AE105</f>
        <v>15+5 JUM</v>
      </c>
      <c r="M105" t="str">
        <f>+AY105</f>
        <v>20+5 JUM</v>
      </c>
      <c r="U105">
        <f>+IF(R102=1,R101,IF(T102=1,T101,IF(V102=1,V101,IF(X102=1,X101,0))))</f>
        <v>0</v>
      </c>
      <c r="V105" t="str">
        <f>+AO105</f>
        <v>15+5 JUM</v>
      </c>
      <c r="W105" t="str">
        <f>+BI105</f>
        <v>20+5 JUM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 JUM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 JUM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 JUM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 JUM</v>
      </c>
      <c r="BJ105" s="49"/>
      <c r="BK105" s="49"/>
      <c r="BL105" s="49"/>
      <c r="BM105" s="49"/>
    </row>
    <row r="106" spans="6:65" hidden="1" x14ac:dyDescent="0.2">
      <c r="F106" s="100"/>
      <c r="H106" s="49"/>
      <c r="J106" s="98" t="str">
        <f>+IF(K105&gt;0,K105,IF(L105&gt;0,L105,IF(M105&gt;0,M105,"hors limite")))</f>
        <v>15+5 JUM</v>
      </c>
      <c r="T106" s="98" t="str">
        <f>+IF(U105&gt;0,U105,IF(V105&gt;0,V105,IF(W105&gt;0,W105,"hors limite")))</f>
        <v>15+5 JUM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98" t="s">
        <v>314</v>
      </c>
      <c r="H107" s="49"/>
      <c r="I107" t="s">
        <v>75</v>
      </c>
      <c r="J107" s="98">
        <f>+IF(K105&gt;0,K107,IF(L105&gt;0,L107,IF(M105&gt;0,M107,0)))</f>
        <v>253</v>
      </c>
      <c r="K107" t="e">
        <f>+HLOOKUP(J106,H59:O88,25,FALSE)</f>
        <v>#N/A</v>
      </c>
      <c r="L107">
        <f>+HLOOKUP(L105,AB59:AI88,28,FALSE)</f>
        <v>253</v>
      </c>
      <c r="M107">
        <f>+HLOOKUP(M105,AV59:BC88,28,FALSE)</f>
        <v>322</v>
      </c>
      <c r="T107" s="98">
        <f>+IF(U105&gt;0,U107,IF(V105&gt;0,V107,IF(W105&gt;0,W107,0)))</f>
        <v>253</v>
      </c>
      <c r="U107" t="e">
        <f>+HLOOKUP(U105,R59:Y88,25,FALSE)</f>
        <v>#N/A</v>
      </c>
      <c r="V107">
        <f>+HLOOKUP(V105,AL59:AS88,28,FALSE)</f>
        <v>253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F108" s="100"/>
      <c r="H108" s="49"/>
      <c r="I108" t="s">
        <v>72</v>
      </c>
      <c r="J108" s="98">
        <f>+IF(K105&gt;0,K108,IF(L105&gt;0,L108,IF(M105&gt;0,M108,0)))</f>
        <v>76</v>
      </c>
      <c r="K108" t="e">
        <f>+HLOOKUP(J106,H59:O88,26,FALSE)</f>
        <v>#N/A</v>
      </c>
      <c r="L108">
        <f>+HLOOKUP(L105,AB59:AI88,29,FALSE)</f>
        <v>76</v>
      </c>
      <c r="M108">
        <f>+HLOOKUP(M105,AV59:BC88,29,FALSE)</f>
        <v>93</v>
      </c>
      <c r="T108" s="98">
        <f>+IF(U105&gt;0,U108,IF(V105&gt;0,V108,IF(W105&gt;0,W108,0)))</f>
        <v>76</v>
      </c>
      <c r="U108" t="e">
        <f>+HLOOKUP(U105,R59:Y88,26,FALSE)</f>
        <v>#N/A</v>
      </c>
      <c r="V108">
        <f>+HLOOKUP(V105,AL59:AS88,29,FALSE)</f>
        <v>76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6:65" hidden="1" x14ac:dyDescent="0.2">
      <c r="F109" s="100"/>
      <c r="H109" s="49"/>
      <c r="I109" s="49" t="s">
        <v>274</v>
      </c>
      <c r="J109" s="98">
        <f>+IF(K105&gt;0,K109,IF(L105&gt;0,L109,IF(M105&gt;0,M109,0)))</f>
        <v>21.47</v>
      </c>
      <c r="K109" t="e">
        <f>+HLOOKUP(K105,H101:O103,3,FALSE)</f>
        <v>#N/A</v>
      </c>
      <c r="L109">
        <f>+HLOOKUP(L105,AB101:AI103,3,FALSE)</f>
        <v>21.47</v>
      </c>
      <c r="M109">
        <f>+HLOOKUP(M105,AV101:BC103,3,FALSE)</f>
        <v>25.72</v>
      </c>
      <c r="N109" s="49"/>
      <c r="O109" s="49"/>
      <c r="R109" s="49"/>
      <c r="S109" s="49"/>
      <c r="T109" s="98">
        <f>+IF(U105&gt;0,U109,IF(V105&gt;0,V109,IF(W105&gt;0,W109,0)))</f>
        <v>21.47</v>
      </c>
      <c r="U109" t="e">
        <f>+HLOOKUP(U105,R101:Y103,3,FALSE)</f>
        <v>#N/A</v>
      </c>
      <c r="V109">
        <f>+HLOOKUP(V105,AL101:AS103,3,FALSE)</f>
        <v>21.47</v>
      </c>
      <c r="W109">
        <f>+HLOOKUP(W105,BF101:BM103,3,FALSE)</f>
        <v>25.72</v>
      </c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6:65" hidden="1" x14ac:dyDescent="0.2">
      <c r="F110" s="100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6:65" hidden="1" x14ac:dyDescent="0.2">
      <c r="J111" s="98"/>
      <c r="T111" s="98"/>
    </row>
    <row r="112" spans="6:65" hidden="1" x14ac:dyDescent="0.2">
      <c r="J112" s="98"/>
      <c r="T112" s="98"/>
    </row>
    <row r="113" spans="6:65" hidden="1" x14ac:dyDescent="0.2">
      <c r="G113" t="s">
        <v>88</v>
      </c>
      <c r="H113" s="236" t="s">
        <v>111</v>
      </c>
      <c r="I113" s="236"/>
      <c r="J113" s="236" t="s">
        <v>112</v>
      </c>
      <c r="K113" s="236"/>
      <c r="L113" s="236" t="s">
        <v>113</v>
      </c>
      <c r="M113" s="236"/>
      <c r="N113" s="236" t="s">
        <v>114</v>
      </c>
      <c r="O113" s="236"/>
      <c r="Q113" t="s">
        <v>88</v>
      </c>
      <c r="R113" s="236" t="s">
        <v>111</v>
      </c>
      <c r="S113" s="236"/>
      <c r="T113" s="236" t="s">
        <v>112</v>
      </c>
      <c r="U113" s="236"/>
      <c r="V113" s="236" t="s">
        <v>113</v>
      </c>
      <c r="W113" s="236"/>
      <c r="X113" s="236" t="s">
        <v>114</v>
      </c>
      <c r="Y113" s="236"/>
      <c r="AA113" t="s">
        <v>88</v>
      </c>
      <c r="AB113" s="236" t="s">
        <v>115</v>
      </c>
      <c r="AC113" s="236"/>
      <c r="AD113" s="236" t="s">
        <v>116</v>
      </c>
      <c r="AE113" s="236"/>
      <c r="AF113" s="236" t="s">
        <v>117</v>
      </c>
      <c r="AG113" s="236"/>
      <c r="AH113" s="236" t="s">
        <v>118</v>
      </c>
      <c r="AI113" s="236"/>
      <c r="AK113" t="s">
        <v>88</v>
      </c>
      <c r="AL113" s="236" t="s">
        <v>115</v>
      </c>
      <c r="AM113" s="236"/>
      <c r="AN113" s="236" t="s">
        <v>116</v>
      </c>
      <c r="AO113" s="236"/>
      <c r="AP113" s="236" t="s">
        <v>117</v>
      </c>
      <c r="AQ113" s="236"/>
      <c r="AR113" s="236" t="s">
        <v>118</v>
      </c>
      <c r="AS113" s="236"/>
      <c r="AU113" t="s">
        <v>88</v>
      </c>
      <c r="AV113" s="236" t="s">
        <v>119</v>
      </c>
      <c r="AW113" s="236"/>
      <c r="AX113" s="236" t="s">
        <v>120</v>
      </c>
      <c r="AY113" s="236"/>
      <c r="AZ113" s="236" t="s">
        <v>121</v>
      </c>
      <c r="BA113" s="236"/>
      <c r="BB113" s="236" t="s">
        <v>122</v>
      </c>
      <c r="BC113" s="236"/>
      <c r="BE113" t="s">
        <v>88</v>
      </c>
      <c r="BF113" s="236" t="s">
        <v>119</v>
      </c>
      <c r="BG113" s="236"/>
      <c r="BH113" s="236" t="s">
        <v>120</v>
      </c>
      <c r="BI113" s="236"/>
      <c r="BJ113" s="236" t="s">
        <v>121</v>
      </c>
      <c r="BK113" s="236"/>
      <c r="BL113" s="236" t="s">
        <v>122</v>
      </c>
      <c r="BM113" s="236"/>
    </row>
    <row r="114" spans="6:65" hidden="1" x14ac:dyDescent="0.2">
      <c r="F114" s="100"/>
      <c r="H114" s="236">
        <f>+IF(H43&gt;$F$102,1,0)</f>
        <v>0</v>
      </c>
      <c r="I114" s="236"/>
      <c r="J114" s="236">
        <f t="shared" ref="J114" si="14">+IF(J43&gt;$F$102,1,0)</f>
        <v>0</v>
      </c>
      <c r="K114" s="236"/>
      <c r="L114" s="236">
        <f t="shared" ref="L114" si="15">+IF(L43&gt;$F$102,1,0)</f>
        <v>0</v>
      </c>
      <c r="M114" s="236"/>
      <c r="N114" s="236">
        <f t="shared" ref="N114" si="16">+IF(N43&gt;$F$102,1,0)</f>
        <v>1</v>
      </c>
      <c r="O114" s="236"/>
      <c r="R114" s="236">
        <f>+IF(R43&gt;$F$102,1,0)</f>
        <v>0</v>
      </c>
      <c r="S114" s="236"/>
      <c r="T114" s="236">
        <f t="shared" ref="T114" si="17">+IF(T43&gt;$F$102,1,0)</f>
        <v>0</v>
      </c>
      <c r="U114" s="236"/>
      <c r="V114" s="236">
        <f t="shared" ref="V114" si="18">+IF(V43&gt;$F$102,1,0)</f>
        <v>0</v>
      </c>
      <c r="W114" s="236"/>
      <c r="X114" s="236">
        <f t="shared" ref="X114" si="19">+IF(X43&gt;$F$102,1,0)</f>
        <v>0</v>
      </c>
      <c r="Y114" s="236"/>
      <c r="AB114" s="236">
        <f>+IF(AB43&gt;$F$102,1,0)</f>
        <v>1</v>
      </c>
      <c r="AC114" s="236"/>
      <c r="AD114" s="236">
        <f t="shared" ref="AD114" si="20">+IF(AD43&gt;$F$102,1,0)</f>
        <v>1</v>
      </c>
      <c r="AE114" s="236"/>
      <c r="AF114" s="236">
        <f t="shared" ref="AF114" si="21">+IF(AF43&gt;$F$102,1,0)</f>
        <v>1</v>
      </c>
      <c r="AG114" s="236"/>
      <c r="AH114" s="236">
        <f t="shared" ref="AH114" si="22">+IF(AH43&gt;$F$102,1,0)</f>
        <v>1</v>
      </c>
      <c r="AI114" s="236"/>
      <c r="AL114" s="236">
        <f>+IF(AL43&gt;$F$102,1,0)</f>
        <v>1</v>
      </c>
      <c r="AM114" s="236"/>
      <c r="AN114" s="236">
        <f t="shared" ref="AN114" si="23">+IF(AN43&gt;$F$102,1,0)</f>
        <v>1</v>
      </c>
      <c r="AO114" s="236"/>
      <c r="AP114" s="236">
        <f t="shared" ref="AP114" si="24">+IF(AP43&gt;$F$102,1,0)</f>
        <v>1</v>
      </c>
      <c r="AQ114" s="236"/>
      <c r="AR114" s="236">
        <f t="shared" ref="AR114" si="25">+IF(AR43&gt;$F$102,1,0)</f>
        <v>1</v>
      </c>
      <c r="AS114" s="236"/>
      <c r="AV114" s="236">
        <f>+IF(AV43&gt;$F$102,1,0)</f>
        <v>1</v>
      </c>
      <c r="AW114" s="236"/>
      <c r="AX114" s="236">
        <f t="shared" ref="AX114" si="26">+IF(AX43&gt;$F$102,1,0)</f>
        <v>1</v>
      </c>
      <c r="AY114" s="236"/>
      <c r="AZ114" s="236">
        <f t="shared" ref="AZ114" si="27">+IF(AZ43&gt;$F$102,1,0)</f>
        <v>1</v>
      </c>
      <c r="BA114" s="236"/>
      <c r="BB114" s="236">
        <f t="shared" ref="BB114" si="28">+IF(BB43&gt;$F$102,1,0)</f>
        <v>1</v>
      </c>
      <c r="BC114" s="236"/>
      <c r="BF114" s="236">
        <f>+IF(BF43&gt;$F$102,1,0)</f>
        <v>1</v>
      </c>
      <c r="BG114" s="236"/>
      <c r="BH114" s="236">
        <f t="shared" ref="BH114" si="29">+IF(BH43&gt;$F$102,1,0)</f>
        <v>1</v>
      </c>
      <c r="BI114" s="236"/>
      <c r="BJ114" s="236">
        <f t="shared" ref="BJ114" si="30">+IF(BJ43&gt;$F$102,1,0)</f>
        <v>1</v>
      </c>
      <c r="BK114" s="236"/>
      <c r="BL114" s="236">
        <f t="shared" ref="BL114" si="31">+IF(BL43&gt;$F$102,1,0)</f>
        <v>1</v>
      </c>
      <c r="BM114" s="236"/>
    </row>
    <row r="115" spans="6:65" hidden="1" x14ac:dyDescent="0.2">
      <c r="H115">
        <v>14.85</v>
      </c>
      <c r="J115">
        <f>1.97+H115</f>
        <v>16.82</v>
      </c>
      <c r="L115">
        <f>3.94+H115</f>
        <v>18.79</v>
      </c>
      <c r="N115">
        <f>5.91+H115</f>
        <v>20.759999999999998</v>
      </c>
      <c r="R115">
        <v>14.85</v>
      </c>
      <c r="T115">
        <f>1.97+R115</f>
        <v>16.82</v>
      </c>
      <c r="V115">
        <f>3.94+R115</f>
        <v>18.79</v>
      </c>
      <c r="X115">
        <f>5.91+R115</f>
        <v>20.759999999999998</v>
      </c>
      <c r="AB115">
        <v>16.72</v>
      </c>
      <c r="AD115">
        <f>1.97+AB115</f>
        <v>18.689999999999998</v>
      </c>
      <c r="AF115">
        <f>3.94+AB115</f>
        <v>20.66</v>
      </c>
      <c r="AH115">
        <f>5.91+AB115</f>
        <v>22.63</v>
      </c>
      <c r="AL115">
        <v>16.72</v>
      </c>
      <c r="AN115">
        <f>1.97+AL115</f>
        <v>18.689999999999998</v>
      </c>
      <c r="AP115">
        <f>3.94+AL115</f>
        <v>20.66</v>
      </c>
      <c r="AR115">
        <f>5.91+AL115</f>
        <v>22.63</v>
      </c>
      <c r="AV115">
        <v>20.98</v>
      </c>
      <c r="AX115">
        <f>1.97+AV115</f>
        <v>22.95</v>
      </c>
      <c r="AZ115">
        <f>3.94+AV115</f>
        <v>24.92</v>
      </c>
      <c r="BB115">
        <f>5.91+AV115</f>
        <v>26.89</v>
      </c>
      <c r="BF115">
        <v>20.98</v>
      </c>
      <c r="BH115">
        <f>1.97+BF115</f>
        <v>22.95</v>
      </c>
      <c r="BJ115">
        <f>3.94+BF115</f>
        <v>24.92</v>
      </c>
      <c r="BL115">
        <f>5.91+BF115</f>
        <v>26.89</v>
      </c>
    </row>
    <row r="116" spans="6:65" hidden="1" x14ac:dyDescent="0.2">
      <c r="J116" t="s">
        <v>143</v>
      </c>
      <c r="L116" t="s">
        <v>88</v>
      </c>
      <c r="T116" t="s">
        <v>144</v>
      </c>
      <c r="V116" t="s">
        <v>88</v>
      </c>
    </row>
    <row r="117" spans="6:65" hidden="1" x14ac:dyDescent="0.2">
      <c r="K117" t="str">
        <f>+IF(H114=1,H113,IF(J114=1,J113,IF(L114=1,L113,IF(N114=1,N113,0))))</f>
        <v>12+8</v>
      </c>
      <c r="L117" t="str">
        <f>+AE117</f>
        <v>15+5</v>
      </c>
      <c r="M117" t="str">
        <f>+AY117</f>
        <v>20+5</v>
      </c>
      <c r="U117">
        <f>+IF(R114=1,R113,IF(T114=1,T113,IF(V114=1,V113,IF(X114=1,X113,0))))</f>
        <v>0</v>
      </c>
      <c r="V117" t="str">
        <f>+AO117</f>
        <v>15+5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98" t="str">
        <f>+IF(K117&gt;0,K117,IF(L117&gt;0,L117,IF(M117&gt;0,M117,"à jumeler")))</f>
        <v>12+8</v>
      </c>
      <c r="T118" s="98" t="str">
        <f>+IF(U117&gt;0,U117,IF(V117&gt;0,V117,IF(W117&gt;0,W117,"à jumeler")))</f>
        <v>15+5</v>
      </c>
    </row>
    <row r="119" spans="6:65" hidden="1" x14ac:dyDescent="0.2">
      <c r="I119" t="s">
        <v>75</v>
      </c>
      <c r="J119" s="98">
        <f>+IF(K117&gt;0,K119,IF(L117&gt;0,L119,IF(M117&gt;0,M119,0)))</f>
        <v>257</v>
      </c>
      <c r="K119">
        <f>+HLOOKUP(J118,H13:O42,28,FALSE)</f>
        <v>257</v>
      </c>
      <c r="L119">
        <f>+HLOOKUP(L117,AB13:AI41,28,FALSE)</f>
        <v>211</v>
      </c>
      <c r="M119">
        <f>+HLOOKUP(M117,AV13:BC41,28,FALSE)</f>
        <v>272</v>
      </c>
      <c r="T119" s="98">
        <f>+IF(U117&gt;0,U119,IF(V117&gt;0,V119,IF(W117&gt;0,W119,0)))</f>
        <v>211</v>
      </c>
      <c r="U119" t="e">
        <f>+HLOOKUP(U117,R13:Y41,25,FALSE)</f>
        <v>#N/A</v>
      </c>
      <c r="V119">
        <f>+HLOOKUP(V117,AL13:AS41,28,FALSE)</f>
        <v>211</v>
      </c>
      <c r="W119">
        <f>+HLOOKUP(W117,BF13:BM41,28,FALSE)</f>
        <v>272</v>
      </c>
    </row>
    <row r="120" spans="6:65" hidden="1" x14ac:dyDescent="0.2">
      <c r="I120" t="s">
        <v>72</v>
      </c>
      <c r="J120" s="98">
        <f>+IF(K117&gt;0,K120,IF(L117&gt;0,L120,IF(M117&gt;0,M120,0)))</f>
        <v>92.5</v>
      </c>
      <c r="K120">
        <f>+HLOOKUP(J118,H13:O41,29,FALSE)</f>
        <v>92.5</v>
      </c>
      <c r="L120">
        <f>+HLOOKUP(L117,AB13:AI41,29,FALSE)</f>
        <v>70</v>
      </c>
      <c r="M120">
        <f>+HLOOKUP(M117,AV13:BC92,29,FALSE)</f>
        <v>86</v>
      </c>
      <c r="T120" s="98">
        <f>+IF(U117&gt;0,U120,IF(V117&gt;0,V120,IF(W117&gt;0,W120,0)))</f>
        <v>70</v>
      </c>
      <c r="U120" t="e">
        <f>+HLOOKUP(U117,R13:Y41,26,FALSE)</f>
        <v>#N/A</v>
      </c>
      <c r="V120">
        <f>+HLOOKUP(V117,AL13:AS41,29,FALSE)</f>
        <v>70</v>
      </c>
      <c r="W120">
        <f>+HLOOKUP(W117,BF13:BM41,29,FALSE)</f>
        <v>86</v>
      </c>
    </row>
    <row r="121" spans="6:65" hidden="1" x14ac:dyDescent="0.2">
      <c r="I121" t="s">
        <v>274</v>
      </c>
      <c r="J121" s="98">
        <f>+IF(K117&gt;0,K121,IF(L117&gt;0,L121,IF(M117&gt;0,M121,0)))</f>
        <v>20.759999999999998</v>
      </c>
      <c r="K121">
        <f>+HLOOKUP(K117,H113:O115,3,FALSE)</f>
        <v>20.759999999999998</v>
      </c>
      <c r="L121">
        <f>+HLOOKUP(L117,AB113:AI115,3,FALSE)</f>
        <v>16.72</v>
      </c>
      <c r="M121">
        <f>+HLOOKUP(M117,AV113:BC115,3,FALSE)</f>
        <v>20.98</v>
      </c>
      <c r="T121" s="98">
        <f>+IF(U117&gt;0,U121,IF(V117&gt;0,V121,IF(W117&gt;0,W121,0)))</f>
        <v>16.72</v>
      </c>
      <c r="U121" t="e">
        <f>+HLOOKUP(U117,R113:Y115,3,FALSE)</f>
        <v>#N/A</v>
      </c>
      <c r="V121">
        <f>+HLOOKUP(V117,AL113:AS115,3,FALSE)</f>
        <v>16.72</v>
      </c>
      <c r="W121">
        <f>+HLOOKUP(W117,BF113:BM115,3,FALSE)</f>
        <v>20.98</v>
      </c>
    </row>
    <row r="122" spans="6:65" hidden="1" x14ac:dyDescent="0.2"/>
    <row r="123" spans="6:65" hidden="1" x14ac:dyDescent="0.2">
      <c r="J123" t="s">
        <v>143</v>
      </c>
      <c r="L123" t="s">
        <v>88</v>
      </c>
      <c r="T123" t="s">
        <v>144</v>
      </c>
      <c r="V123" t="s">
        <v>88</v>
      </c>
    </row>
    <row r="124" spans="6:65" hidden="1" x14ac:dyDescent="0.2">
      <c r="G124" t="s">
        <v>165</v>
      </c>
      <c r="K124">
        <v>0</v>
      </c>
      <c r="L124" t="str">
        <f>+AE117</f>
        <v>15+5</v>
      </c>
      <c r="M124" t="str">
        <f>+AY117</f>
        <v>20+5</v>
      </c>
    </row>
    <row r="125" spans="6:65" hidden="1" x14ac:dyDescent="0.2">
      <c r="J125" s="98" t="str">
        <f>+IF(K124&gt;0,K124,IF(L124&gt;0,L124,IF(M124&gt;0,M124,"à jumeler")))</f>
        <v>15+5</v>
      </c>
    </row>
    <row r="126" spans="6:65" hidden="1" x14ac:dyDescent="0.2">
      <c r="J126" s="98">
        <f>+IF(K124&gt;0,K126,IF(L124&gt;0,L126,IF(M124&gt;0,M126,0)))</f>
        <v>211</v>
      </c>
      <c r="L126">
        <f>+HLOOKUP(L117,AB13:AI41,28,FALSE)</f>
        <v>211</v>
      </c>
      <c r="M126">
        <f>+HLOOKUP(M117,AV13:BC41,28,FALSE)</f>
        <v>272</v>
      </c>
    </row>
    <row r="127" spans="6:65" hidden="1" x14ac:dyDescent="0.2">
      <c r="J127" s="98">
        <f>+IF(K124&gt;0,K127,IF(L124&gt;0,L127,IF(M124&gt;0,M127,0)))</f>
        <v>70</v>
      </c>
      <c r="L127">
        <f>+HLOOKUP(L117,AB13:AI41,29,FALSE)</f>
        <v>70</v>
      </c>
      <c r="M127">
        <f>+HLOOKUP(M117,AV13:BC92,29,FALSE)</f>
        <v>86</v>
      </c>
    </row>
    <row r="128" spans="6:65" hidden="1" x14ac:dyDescent="0.2"/>
    <row r="129" hidden="1" x14ac:dyDescent="0.2"/>
  </sheetData>
  <sheetProtection algorithmName="SHA-512" hashValue="M0CxIy5K3KPn1Zl9JjpLzslojJbrf0g7PivoTnqEdY26GBsGzXLHop51YRAIM/vz0k6U+vf0YUL5P1DPciF17g==" saltValue="ZRI9Pz1NrLXMnBlzayE4dA==" spinCount="100000" sheet="1" objects="1" scenarios="1"/>
  <mergeCells count="340">
    <mergeCell ref="BH114:BI114"/>
    <mergeCell ref="BJ114:BK114"/>
    <mergeCell ref="BL114:BM114"/>
    <mergeCell ref="BH113:BI113"/>
    <mergeCell ref="BJ113:BK113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14:BA114"/>
    <mergeCell ref="BB114:BC114"/>
    <mergeCell ref="BF114:BG114"/>
    <mergeCell ref="BH102:BI102"/>
    <mergeCell ref="BJ102:BK102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13:BA113"/>
    <mergeCell ref="BB113:BC113"/>
    <mergeCell ref="BF113:BG113"/>
    <mergeCell ref="BH101:BI101"/>
    <mergeCell ref="BJ101:BK101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02:BA102"/>
    <mergeCell ref="BB102:BC102"/>
    <mergeCell ref="BF102:BG102"/>
    <mergeCell ref="BH13:BI13"/>
    <mergeCell ref="BJ13:BK13"/>
    <mergeCell ref="BL13:BM13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01:BA101"/>
    <mergeCell ref="BB101:BC101"/>
    <mergeCell ref="BF101:BG101"/>
    <mergeCell ref="BH59:BI59"/>
    <mergeCell ref="BJ59:BK59"/>
    <mergeCell ref="BL59:BM59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AL59:AM59"/>
    <mergeCell ref="AN59:AO59"/>
    <mergeCell ref="AP59:AQ59"/>
    <mergeCell ref="AR59:AS59"/>
    <mergeCell ref="AV59:AW59"/>
    <mergeCell ref="AX59:AY59"/>
    <mergeCell ref="AZ59:BA59"/>
    <mergeCell ref="BB59:BC59"/>
    <mergeCell ref="BF59:BG59"/>
    <mergeCell ref="H59:I59"/>
    <mergeCell ref="J59:K59"/>
    <mergeCell ref="L59:M59"/>
    <mergeCell ref="N59:O59"/>
    <mergeCell ref="R59:S59"/>
    <mergeCell ref="T59:U59"/>
    <mergeCell ref="V59:W59"/>
    <mergeCell ref="X59:Y59"/>
    <mergeCell ref="AB59:AC59"/>
    <mergeCell ref="BP14:BQ14"/>
    <mergeCell ref="BR14:BS14"/>
    <mergeCell ref="BT14:BU14"/>
    <mergeCell ref="BV14:BW14"/>
    <mergeCell ref="AZ89:BA89"/>
    <mergeCell ref="BB89:BC89"/>
    <mergeCell ref="BF89:BG89"/>
    <mergeCell ref="BH89:BI89"/>
    <mergeCell ref="BJ89:BK89"/>
    <mergeCell ref="BL89:BM89"/>
    <mergeCell ref="BH87:BI87"/>
    <mergeCell ref="BJ87:BK87"/>
    <mergeCell ref="BL87:BM87"/>
    <mergeCell ref="BH60:BI60"/>
    <mergeCell ref="BJ60:BK60"/>
    <mergeCell ref="BL60:BM60"/>
    <mergeCell ref="BH41:BI41"/>
    <mergeCell ref="BJ41:BK41"/>
    <mergeCell ref="BL41:BM41"/>
    <mergeCell ref="BH14:BI14"/>
    <mergeCell ref="BJ14:BK14"/>
    <mergeCell ref="BL14:BM14"/>
    <mergeCell ref="AZ14:BA14"/>
    <mergeCell ref="BB14:BC14"/>
    <mergeCell ref="AL89:AM89"/>
    <mergeCell ref="AN89:AO89"/>
    <mergeCell ref="AP89:AQ89"/>
    <mergeCell ref="AR89:AS89"/>
    <mergeCell ref="AV89:AW89"/>
    <mergeCell ref="AX89:AY89"/>
    <mergeCell ref="V89:W89"/>
    <mergeCell ref="X89:Y89"/>
    <mergeCell ref="AB89:AC89"/>
    <mergeCell ref="AD89:AE89"/>
    <mergeCell ref="AF89:AG89"/>
    <mergeCell ref="AH89:AI89"/>
    <mergeCell ref="H89:I89"/>
    <mergeCell ref="J89:K89"/>
    <mergeCell ref="L89:M89"/>
    <mergeCell ref="N89:O89"/>
    <mergeCell ref="R89:S89"/>
    <mergeCell ref="T89:U89"/>
    <mergeCell ref="AZ87:BA87"/>
    <mergeCell ref="BB87:BC87"/>
    <mergeCell ref="BF87:BG87"/>
    <mergeCell ref="AL87:AM87"/>
    <mergeCell ref="AN87:AO87"/>
    <mergeCell ref="AP87:AQ87"/>
    <mergeCell ref="AR87:AS87"/>
    <mergeCell ref="AV87:AW87"/>
    <mergeCell ref="AX87:AY87"/>
    <mergeCell ref="V87:W87"/>
    <mergeCell ref="X87:Y87"/>
    <mergeCell ref="AB87:AC87"/>
    <mergeCell ref="AD87:AE87"/>
    <mergeCell ref="AF87:AG87"/>
    <mergeCell ref="AH87:AI87"/>
    <mergeCell ref="H87:I87"/>
    <mergeCell ref="J87:K87"/>
    <mergeCell ref="L87:M87"/>
    <mergeCell ref="N87:O87"/>
    <mergeCell ref="R87:S87"/>
    <mergeCell ref="T87:U87"/>
    <mergeCell ref="AZ86:BA86"/>
    <mergeCell ref="BB86:BC86"/>
    <mergeCell ref="BF86:BG86"/>
    <mergeCell ref="BH86:BI86"/>
    <mergeCell ref="BJ86:BK86"/>
    <mergeCell ref="BL86:BM86"/>
    <mergeCell ref="AL86:AM86"/>
    <mergeCell ref="AN86:AO86"/>
    <mergeCell ref="AP86:AQ86"/>
    <mergeCell ref="AR86:AS86"/>
    <mergeCell ref="AV86:AW86"/>
    <mergeCell ref="AX86:AY86"/>
    <mergeCell ref="V86:W86"/>
    <mergeCell ref="X86:Y86"/>
    <mergeCell ref="AB86:AC86"/>
    <mergeCell ref="AD86:AE86"/>
    <mergeCell ref="AF86:AG86"/>
    <mergeCell ref="AH86:AI86"/>
    <mergeCell ref="H86:I86"/>
    <mergeCell ref="J86:K86"/>
    <mergeCell ref="L86:M86"/>
    <mergeCell ref="N86:O86"/>
    <mergeCell ref="R86:S86"/>
    <mergeCell ref="T86:U86"/>
    <mergeCell ref="AZ60:BA60"/>
    <mergeCell ref="BB60:BC60"/>
    <mergeCell ref="BF60:BG60"/>
    <mergeCell ref="AL60:AM60"/>
    <mergeCell ref="AN60:AO60"/>
    <mergeCell ref="AP60:AQ60"/>
    <mergeCell ref="AR60:AS60"/>
    <mergeCell ref="AV60:AW60"/>
    <mergeCell ref="AX60:AY60"/>
    <mergeCell ref="V60:W60"/>
    <mergeCell ref="X60:Y60"/>
    <mergeCell ref="AB60:AC60"/>
    <mergeCell ref="AD60:AE60"/>
    <mergeCell ref="AF60:AG60"/>
    <mergeCell ref="AH60:AI60"/>
    <mergeCell ref="H60:I60"/>
    <mergeCell ref="J60:K60"/>
    <mergeCell ref="L60:M60"/>
    <mergeCell ref="N60:O60"/>
    <mergeCell ref="R60:S60"/>
    <mergeCell ref="T60:U60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  <mergeCell ref="V43:W43"/>
    <mergeCell ref="X43:Y43"/>
    <mergeCell ref="AB43:AC43"/>
    <mergeCell ref="AD43:AE43"/>
    <mergeCell ref="AF43:AG43"/>
    <mergeCell ref="AH43:AI43"/>
    <mergeCell ref="AD59:AE59"/>
    <mergeCell ref="AF59:AG59"/>
    <mergeCell ref="AH59:AI59"/>
    <mergeCell ref="H43:I43"/>
    <mergeCell ref="J43:K43"/>
    <mergeCell ref="L43:M43"/>
    <mergeCell ref="N43:O43"/>
    <mergeCell ref="R43:S43"/>
    <mergeCell ref="T43:U43"/>
    <mergeCell ref="AZ41:BA41"/>
    <mergeCell ref="BB41:BC41"/>
    <mergeCell ref="BF41:BG41"/>
    <mergeCell ref="AL41:AM41"/>
    <mergeCell ref="AN41:AO41"/>
    <mergeCell ref="AP41:AQ41"/>
    <mergeCell ref="AR41:AS41"/>
    <mergeCell ref="AV41:AW41"/>
    <mergeCell ref="AX41:AY41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BL40:BM40"/>
    <mergeCell ref="AL40:AM40"/>
    <mergeCell ref="AN40:AO40"/>
    <mergeCell ref="AP40:AQ40"/>
    <mergeCell ref="AR40:AS40"/>
    <mergeCell ref="AV40:AW40"/>
    <mergeCell ref="AX40:AY40"/>
    <mergeCell ref="V40:W40"/>
    <mergeCell ref="X40:Y40"/>
    <mergeCell ref="AB40:AC40"/>
    <mergeCell ref="AD40:AE40"/>
    <mergeCell ref="AF40:AG40"/>
    <mergeCell ref="AH40:AI40"/>
    <mergeCell ref="L14:M14"/>
    <mergeCell ref="N41:O41"/>
    <mergeCell ref="R41:S41"/>
    <mergeCell ref="T41:U41"/>
    <mergeCell ref="AZ40:BA40"/>
    <mergeCell ref="BB40:BC40"/>
    <mergeCell ref="BF40:BG40"/>
    <mergeCell ref="BH40:BI40"/>
    <mergeCell ref="BJ40:BK40"/>
    <mergeCell ref="H40:I40"/>
    <mergeCell ref="J40:K40"/>
    <mergeCell ref="L40:M40"/>
    <mergeCell ref="N40:O40"/>
    <mergeCell ref="R40:S40"/>
    <mergeCell ref="T40:U40"/>
    <mergeCell ref="BF14:BG14"/>
    <mergeCell ref="AL14:AM14"/>
    <mergeCell ref="AN14:AO14"/>
    <mergeCell ref="AP14:AQ14"/>
    <mergeCell ref="AR14:AS14"/>
    <mergeCell ref="AV14:AW14"/>
    <mergeCell ref="AX14:AY14"/>
    <mergeCell ref="N14:O14"/>
    <mergeCell ref="R14:S14"/>
    <mergeCell ref="T14:U14"/>
    <mergeCell ref="V14:W14"/>
    <mergeCell ref="X14:Y14"/>
    <mergeCell ref="AB14:AC14"/>
    <mergeCell ref="AD14:AE14"/>
    <mergeCell ref="AF14:AG14"/>
    <mergeCell ref="AH14:AI14"/>
    <mergeCell ref="H14:I14"/>
    <mergeCell ref="J14:K14"/>
  </mergeCells>
  <phoneticPr fontId="26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BFB56-CCE6-4365-B85F-9B3A79AFF15E}">
  <dimension ref="E6:BM125"/>
  <sheetViews>
    <sheetView topLeftCell="A126" workbookViewId="0">
      <selection activeCell="A125" sqref="A6:XFD125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97">
        <v>12</v>
      </c>
      <c r="U10" s="97">
        <v>12</v>
      </c>
      <c r="AE10" s="97">
        <v>15</v>
      </c>
      <c r="AO10" s="97">
        <v>15</v>
      </c>
      <c r="AY10" s="97">
        <v>20</v>
      </c>
      <c r="BI10" s="97">
        <v>20</v>
      </c>
    </row>
    <row r="11" spans="7:65" hidden="1" x14ac:dyDescent="0.2">
      <c r="K11" s="98" t="s">
        <v>78</v>
      </c>
      <c r="U11" s="98" t="s">
        <v>83</v>
      </c>
      <c r="AE11" s="98" t="s">
        <v>84</v>
      </c>
      <c r="AO11" s="98" t="s">
        <v>79</v>
      </c>
      <c r="AY11" s="98" t="s">
        <v>84</v>
      </c>
      <c r="BI11" s="98" t="s">
        <v>79</v>
      </c>
    </row>
    <row r="12" spans="7:65" hidden="1" x14ac:dyDescent="0.2">
      <c r="H12">
        <v>137</v>
      </c>
      <c r="K12" s="98"/>
      <c r="R12">
        <v>937</v>
      </c>
      <c r="U12" s="98"/>
      <c r="AB12">
        <v>158</v>
      </c>
      <c r="AD12">
        <v>179</v>
      </c>
      <c r="AF12">
        <v>179</v>
      </c>
      <c r="AH12">
        <v>179</v>
      </c>
      <c r="AL12" t="s">
        <v>69</v>
      </c>
      <c r="AN12">
        <v>179</v>
      </c>
      <c r="AP12">
        <v>189</v>
      </c>
      <c r="AR12">
        <v>189</v>
      </c>
      <c r="AV12">
        <v>179</v>
      </c>
      <c r="AX12">
        <v>179</v>
      </c>
      <c r="AZ12">
        <v>179</v>
      </c>
      <c r="BB12">
        <v>179</v>
      </c>
      <c r="BF12">
        <v>179</v>
      </c>
      <c r="BH12">
        <v>179</v>
      </c>
      <c r="BJ12">
        <v>179</v>
      </c>
      <c r="BL12">
        <v>179</v>
      </c>
    </row>
    <row r="13" spans="7:65" hidden="1" x14ac:dyDescent="0.2">
      <c r="H13" s="235" t="s">
        <v>111</v>
      </c>
      <c r="I13" s="235"/>
      <c r="J13" s="235" t="s">
        <v>112</v>
      </c>
      <c r="K13" s="235"/>
      <c r="L13" s="235" t="s">
        <v>113</v>
      </c>
      <c r="M13" s="235"/>
      <c r="N13" s="235" t="s">
        <v>114</v>
      </c>
      <c r="O13" s="235"/>
      <c r="R13" s="235" t="s">
        <v>111</v>
      </c>
      <c r="S13" s="235"/>
      <c r="T13" s="235" t="s">
        <v>112</v>
      </c>
      <c r="U13" s="235"/>
      <c r="V13" s="235" t="s">
        <v>113</v>
      </c>
      <c r="W13" s="235"/>
      <c r="X13" s="235" t="s">
        <v>114</v>
      </c>
      <c r="Y13" s="235"/>
      <c r="AB13" s="235" t="s">
        <v>115</v>
      </c>
      <c r="AC13" s="235"/>
      <c r="AD13" s="235" t="s">
        <v>116</v>
      </c>
      <c r="AE13" s="235"/>
      <c r="AF13" s="235" t="s">
        <v>117</v>
      </c>
      <c r="AG13" s="235"/>
      <c r="AH13" s="235" t="s">
        <v>118</v>
      </c>
      <c r="AI13" s="235"/>
      <c r="AL13" s="235" t="s">
        <v>115</v>
      </c>
      <c r="AM13" s="235"/>
      <c r="AN13" s="235" t="s">
        <v>116</v>
      </c>
      <c r="AO13" s="235"/>
      <c r="AP13" s="235" t="s">
        <v>117</v>
      </c>
      <c r="AQ13" s="235"/>
      <c r="AR13" s="235" t="s">
        <v>118</v>
      </c>
      <c r="AS13" s="235"/>
      <c r="AV13" s="235" t="s">
        <v>119</v>
      </c>
      <c r="AW13" s="235"/>
      <c r="AX13" s="235" t="s">
        <v>120</v>
      </c>
      <c r="AY13" s="235"/>
      <c r="AZ13" s="235" t="s">
        <v>121</v>
      </c>
      <c r="BA13" s="235"/>
      <c r="BB13" s="235" t="s">
        <v>122</v>
      </c>
      <c r="BC13" s="235"/>
      <c r="BF13" s="235" t="s">
        <v>119</v>
      </c>
      <c r="BG13" s="235"/>
      <c r="BH13" s="235" t="s">
        <v>120</v>
      </c>
      <c r="BI13" s="235"/>
      <c r="BJ13" s="235" t="s">
        <v>121</v>
      </c>
      <c r="BK13" s="235"/>
      <c r="BL13" s="235" t="s">
        <v>122</v>
      </c>
      <c r="BM13" s="235"/>
    </row>
    <row r="14" spans="7:65" hidden="1" x14ac:dyDescent="0.2">
      <c r="H14" s="235">
        <v>5</v>
      </c>
      <c r="I14" s="235"/>
      <c r="J14" s="235">
        <v>6</v>
      </c>
      <c r="K14" s="235"/>
      <c r="L14" s="235">
        <v>7</v>
      </c>
      <c r="M14" s="235"/>
      <c r="N14" s="235">
        <v>8</v>
      </c>
      <c r="O14" s="235"/>
      <c r="R14" s="235">
        <v>5</v>
      </c>
      <c r="S14" s="235"/>
      <c r="T14" s="235">
        <v>6</v>
      </c>
      <c r="U14" s="235"/>
      <c r="V14" s="235">
        <v>7</v>
      </c>
      <c r="W14" s="235"/>
      <c r="X14" s="235">
        <v>8</v>
      </c>
      <c r="Y14" s="235"/>
      <c r="AB14" s="235">
        <v>5</v>
      </c>
      <c r="AC14" s="235"/>
      <c r="AD14" s="235">
        <v>6</v>
      </c>
      <c r="AE14" s="235"/>
      <c r="AF14" s="235">
        <v>7</v>
      </c>
      <c r="AG14" s="235"/>
      <c r="AH14" s="235">
        <v>8</v>
      </c>
      <c r="AI14" s="235"/>
      <c r="AL14" s="235">
        <v>5</v>
      </c>
      <c r="AM14" s="235"/>
      <c r="AN14" s="235">
        <v>6</v>
      </c>
      <c r="AO14" s="235"/>
      <c r="AP14" s="235">
        <v>7</v>
      </c>
      <c r="AQ14" s="235"/>
      <c r="AR14" s="235">
        <v>8</v>
      </c>
      <c r="AS14" s="235"/>
      <c r="AV14" s="235">
        <v>5</v>
      </c>
      <c r="AW14" s="235"/>
      <c r="AX14" s="235">
        <v>6</v>
      </c>
      <c r="AY14" s="235"/>
      <c r="AZ14" s="235">
        <v>7</v>
      </c>
      <c r="BA14" s="235"/>
      <c r="BB14" s="235">
        <v>8</v>
      </c>
      <c r="BC14" s="235"/>
      <c r="BF14" s="235">
        <v>5</v>
      </c>
      <c r="BG14" s="235"/>
      <c r="BH14" s="235">
        <v>6</v>
      </c>
      <c r="BI14" s="235"/>
      <c r="BJ14" s="235">
        <v>7</v>
      </c>
      <c r="BK14" s="235"/>
      <c r="BL14" s="235">
        <v>8</v>
      </c>
      <c r="BM14" s="235"/>
    </row>
    <row r="15" spans="7:65" hidden="1" x14ac:dyDescent="0.2">
      <c r="H15" s="99" t="s">
        <v>24</v>
      </c>
      <c r="I15" s="99" t="s">
        <v>25</v>
      </c>
      <c r="J15" s="99" t="s">
        <v>24</v>
      </c>
      <c r="K15" s="99" t="s">
        <v>25</v>
      </c>
      <c r="L15" s="99" t="s">
        <v>24</v>
      </c>
      <c r="M15" s="99" t="s">
        <v>25</v>
      </c>
      <c r="N15" s="99" t="s">
        <v>24</v>
      </c>
      <c r="O15" s="99" t="s">
        <v>25</v>
      </c>
      <c r="R15" s="99" t="s">
        <v>24</v>
      </c>
      <c r="S15" s="99" t="s">
        <v>25</v>
      </c>
      <c r="T15" s="99" t="s">
        <v>24</v>
      </c>
      <c r="U15" s="99" t="s">
        <v>25</v>
      </c>
      <c r="V15" s="99" t="s">
        <v>24</v>
      </c>
      <c r="W15" s="99" t="s">
        <v>25</v>
      </c>
      <c r="X15" s="99" t="s">
        <v>24</v>
      </c>
      <c r="Y15" s="99" t="s">
        <v>25</v>
      </c>
      <c r="AB15" s="99" t="s">
        <v>24</v>
      </c>
      <c r="AC15" s="99" t="s">
        <v>25</v>
      </c>
      <c r="AD15" s="99" t="s">
        <v>24</v>
      </c>
      <c r="AE15" s="99" t="s">
        <v>25</v>
      </c>
      <c r="AF15" s="99" t="s">
        <v>24</v>
      </c>
      <c r="AG15" s="99" t="s">
        <v>25</v>
      </c>
      <c r="AH15" s="99" t="s">
        <v>24</v>
      </c>
      <c r="AI15" s="99" t="s">
        <v>25</v>
      </c>
      <c r="AL15" s="99" t="s">
        <v>24</v>
      </c>
      <c r="AM15" s="99" t="s">
        <v>25</v>
      </c>
      <c r="AN15" s="99" t="s">
        <v>24</v>
      </c>
      <c r="AO15" s="99" t="s">
        <v>25</v>
      </c>
      <c r="AP15" s="99" t="s">
        <v>24</v>
      </c>
      <c r="AQ15" s="99" t="s">
        <v>25</v>
      </c>
      <c r="AR15" s="99" t="s">
        <v>24</v>
      </c>
      <c r="AS15" s="99" t="s">
        <v>25</v>
      </c>
      <c r="AV15" s="99" t="s">
        <v>24</v>
      </c>
      <c r="AW15" s="99" t="s">
        <v>25</v>
      </c>
      <c r="AX15" s="99" t="s">
        <v>24</v>
      </c>
      <c r="AY15" s="99" t="s">
        <v>25</v>
      </c>
      <c r="AZ15" s="99" t="s">
        <v>24</v>
      </c>
      <c r="BA15" s="99" t="s">
        <v>25</v>
      </c>
      <c r="BB15" s="99" t="s">
        <v>24</v>
      </c>
      <c r="BC15" s="99" t="s">
        <v>25</v>
      </c>
      <c r="BF15" s="99" t="s">
        <v>24</v>
      </c>
      <c r="BG15" s="99" t="s">
        <v>25</v>
      </c>
      <c r="BH15" s="99" t="s">
        <v>24</v>
      </c>
      <c r="BI15" s="99" t="s">
        <v>25</v>
      </c>
      <c r="BJ15" s="99" t="s">
        <v>24</v>
      </c>
      <c r="BK15" s="99" t="s">
        <v>25</v>
      </c>
      <c r="BL15" s="99" t="s">
        <v>24</v>
      </c>
      <c r="BM15" s="99" t="s">
        <v>25</v>
      </c>
    </row>
    <row r="16" spans="7:65" hidden="1" x14ac:dyDescent="0.2">
      <c r="G16" t="s">
        <v>161</v>
      </c>
      <c r="H16">
        <v>6.2</v>
      </c>
      <c r="I16">
        <v>6.6</v>
      </c>
      <c r="J16">
        <v>6.35</v>
      </c>
      <c r="K16">
        <v>6.85</v>
      </c>
      <c r="L16">
        <v>6.5</v>
      </c>
      <c r="M16">
        <v>7</v>
      </c>
      <c r="N16">
        <v>6.65</v>
      </c>
      <c r="O16">
        <v>7.2</v>
      </c>
      <c r="Q16" t="s">
        <v>161</v>
      </c>
      <c r="AA16" t="s">
        <v>161</v>
      </c>
      <c r="AB16">
        <v>7</v>
      </c>
      <c r="AC16">
        <v>7.5</v>
      </c>
      <c r="AD16">
        <v>7.45</v>
      </c>
      <c r="AE16">
        <v>8</v>
      </c>
      <c r="AF16">
        <v>7.55</v>
      </c>
      <c r="AG16">
        <v>8.15</v>
      </c>
      <c r="AH16">
        <v>7.65</v>
      </c>
      <c r="AI16">
        <v>8.3000000000000007</v>
      </c>
      <c r="AK16" t="s">
        <v>161</v>
      </c>
      <c r="AU16" t="s">
        <v>161</v>
      </c>
      <c r="AV16">
        <v>8.25</v>
      </c>
      <c r="AW16">
        <v>8.9</v>
      </c>
      <c r="AX16">
        <v>8.35</v>
      </c>
      <c r="AY16">
        <v>9</v>
      </c>
      <c r="AZ16">
        <v>8.5</v>
      </c>
      <c r="BA16">
        <v>9</v>
      </c>
      <c r="BB16">
        <v>8.6</v>
      </c>
      <c r="BC16">
        <v>9</v>
      </c>
      <c r="BE16" t="s">
        <v>161</v>
      </c>
    </row>
    <row r="17" spans="7:57" hidden="1" x14ac:dyDescent="0.2">
      <c r="G17" t="s">
        <v>34</v>
      </c>
      <c r="H17">
        <v>5.75</v>
      </c>
      <c r="I17">
        <v>6.25</v>
      </c>
      <c r="J17">
        <v>6.05</v>
      </c>
      <c r="K17">
        <v>6.45</v>
      </c>
      <c r="L17">
        <v>6.25</v>
      </c>
      <c r="M17">
        <v>6.65</v>
      </c>
      <c r="N17">
        <v>6.4</v>
      </c>
      <c r="O17">
        <v>6.85</v>
      </c>
      <c r="Q17" t="s">
        <v>34</v>
      </c>
      <c r="AA17" t="s">
        <v>34</v>
      </c>
      <c r="AB17">
        <v>6.6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</row>
    <row r="18" spans="7:57" hidden="1" x14ac:dyDescent="0.2">
      <c r="G18" t="s">
        <v>35</v>
      </c>
      <c r="H18">
        <v>5.5</v>
      </c>
      <c r="I18">
        <v>5.95</v>
      </c>
      <c r="J18">
        <v>5.65</v>
      </c>
      <c r="K18">
        <v>6.15</v>
      </c>
      <c r="L18">
        <v>5.85</v>
      </c>
      <c r="M18">
        <v>6.35</v>
      </c>
      <c r="N18">
        <v>6.05</v>
      </c>
      <c r="O18">
        <v>6.55</v>
      </c>
      <c r="Q18" t="s">
        <v>35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</row>
    <row r="19" spans="7:57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</row>
    <row r="20" spans="7:57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</row>
    <row r="21" spans="7:57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</row>
    <row r="22" spans="7:57" hidden="1" x14ac:dyDescent="0.2">
      <c r="G22" t="s">
        <v>38</v>
      </c>
      <c r="H22">
        <v>4.4000000000000004</v>
      </c>
      <c r="I22">
        <v>4.4000000000000004</v>
      </c>
      <c r="J22">
        <v>4.5999999999999996</v>
      </c>
      <c r="K22">
        <v>4.5999999999999996</v>
      </c>
      <c r="L22">
        <v>4.8</v>
      </c>
      <c r="M22">
        <v>4.8</v>
      </c>
      <c r="N22">
        <v>5</v>
      </c>
      <c r="O22">
        <v>5</v>
      </c>
      <c r="Q22" t="s">
        <v>38</v>
      </c>
      <c r="AA22" t="s">
        <v>38</v>
      </c>
      <c r="AB22">
        <v>5.25</v>
      </c>
      <c r="AC22">
        <v>5.75</v>
      </c>
      <c r="AD22">
        <v>5.55</v>
      </c>
      <c r="AE22">
        <v>6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</row>
    <row r="23" spans="7:57" hidden="1" x14ac:dyDescent="0.2">
      <c r="G23" t="s">
        <v>39</v>
      </c>
      <c r="H23">
        <v>3.9</v>
      </c>
      <c r="I23">
        <v>3.9</v>
      </c>
      <c r="J23">
        <v>4.0999999999999996</v>
      </c>
      <c r="K23">
        <v>4.0999999999999996</v>
      </c>
      <c r="L23">
        <v>4.3</v>
      </c>
      <c r="M23">
        <v>4.3</v>
      </c>
      <c r="N23">
        <v>4.55</v>
      </c>
      <c r="O23">
        <v>4.55</v>
      </c>
      <c r="Q23" t="s">
        <v>39</v>
      </c>
      <c r="AA23" t="s">
        <v>39</v>
      </c>
      <c r="AB23">
        <v>5</v>
      </c>
      <c r="AC23">
        <v>5.45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</row>
    <row r="24" spans="7:57" hidden="1" x14ac:dyDescent="0.2">
      <c r="G24" t="s">
        <v>162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162</v>
      </c>
      <c r="AA24" t="s">
        <v>162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</v>
      </c>
      <c r="AI24">
        <v>7.6</v>
      </c>
      <c r="AK24" t="s">
        <v>162</v>
      </c>
      <c r="AU24" t="s">
        <v>162</v>
      </c>
      <c r="AV24">
        <v>7.7</v>
      </c>
      <c r="AW24">
        <v>8.15</v>
      </c>
      <c r="AX24">
        <v>7.85</v>
      </c>
      <c r="AY24">
        <v>8.3000000000000007</v>
      </c>
      <c r="AZ24">
        <v>8</v>
      </c>
      <c r="BA24">
        <v>8.4499999999999993</v>
      </c>
      <c r="BB24">
        <v>8.1</v>
      </c>
      <c r="BC24">
        <v>8.65</v>
      </c>
      <c r="BE24" t="s">
        <v>162</v>
      </c>
    </row>
    <row r="25" spans="7:57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</row>
    <row r="26" spans="7:57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</row>
    <row r="27" spans="7:57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</row>
    <row r="28" spans="7:57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</row>
    <row r="29" spans="7:57" hidden="1" x14ac:dyDescent="0.2">
      <c r="G29" t="s">
        <v>81</v>
      </c>
      <c r="H29">
        <v>4.25</v>
      </c>
      <c r="I29">
        <v>4.25</v>
      </c>
      <c r="J29">
        <v>4.5</v>
      </c>
      <c r="K29">
        <v>4.5</v>
      </c>
      <c r="L29">
        <v>4.7</v>
      </c>
      <c r="M29">
        <v>4.7</v>
      </c>
      <c r="N29">
        <v>4.9000000000000004</v>
      </c>
      <c r="O29">
        <v>4.9000000000000004</v>
      </c>
      <c r="Q29" t="s">
        <v>81</v>
      </c>
      <c r="AA29" t="s">
        <v>81</v>
      </c>
      <c r="AB29">
        <v>5.25</v>
      </c>
      <c r="AC29">
        <v>5.5</v>
      </c>
      <c r="AD29">
        <v>5.6</v>
      </c>
      <c r="AE29">
        <f t="shared" ref="AE29:AI29" si="0">+(AE28+AE30)/2</f>
        <v>6.05</v>
      </c>
      <c r="AF29">
        <f t="shared" si="0"/>
        <v>5.75</v>
      </c>
      <c r="AG29">
        <v>6.2</v>
      </c>
      <c r="AH29">
        <f t="shared" si="0"/>
        <v>5.9</v>
      </c>
      <c r="AI29">
        <f t="shared" si="0"/>
        <v>6.4</v>
      </c>
      <c r="AK29" t="s">
        <v>81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</row>
    <row r="30" spans="7:57" hidden="1" x14ac:dyDescent="0.2">
      <c r="G30" t="s">
        <v>44</v>
      </c>
      <c r="H30">
        <v>3.85</v>
      </c>
      <c r="I30">
        <v>3.85</v>
      </c>
      <c r="J30">
        <v>4.05</v>
      </c>
      <c r="K30">
        <v>4.05</v>
      </c>
      <c r="L30">
        <v>4.25</v>
      </c>
      <c r="M30">
        <v>4.25</v>
      </c>
      <c r="N30">
        <v>4.45</v>
      </c>
      <c r="O30">
        <v>4.45</v>
      </c>
      <c r="Q30" t="s">
        <v>44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</row>
    <row r="31" spans="7:57" hidden="1" x14ac:dyDescent="0.2">
      <c r="G31" t="s">
        <v>67</v>
      </c>
      <c r="H31">
        <v>3.45</v>
      </c>
      <c r="I31">
        <v>3.45</v>
      </c>
      <c r="J31">
        <v>3.65</v>
      </c>
      <c r="K31">
        <v>3.65</v>
      </c>
      <c r="L31">
        <v>3.85</v>
      </c>
      <c r="M31">
        <v>3.85</v>
      </c>
      <c r="N31">
        <v>4.05</v>
      </c>
      <c r="O31">
        <v>4.05</v>
      </c>
      <c r="Q31" t="s">
        <v>67</v>
      </c>
      <c r="AA31" t="s">
        <v>67</v>
      </c>
      <c r="AB31">
        <v>4.8499999999999996</v>
      </c>
      <c r="AC31">
        <v>4.8499999999999996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</row>
    <row r="32" spans="7:57" hidden="1" x14ac:dyDescent="0.2">
      <c r="G32" t="s">
        <v>163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163</v>
      </c>
      <c r="AA32" t="s">
        <v>163</v>
      </c>
      <c r="AB32">
        <v>5.9</v>
      </c>
      <c r="AC32">
        <v>6.15</v>
      </c>
      <c r="AD32">
        <v>6.3</v>
      </c>
      <c r="AE32">
        <v>6.55</v>
      </c>
      <c r="AF32">
        <v>6.45</v>
      </c>
      <c r="AG32">
        <v>6.7</v>
      </c>
      <c r="AH32">
        <v>6.6</v>
      </c>
      <c r="AI32">
        <v>6.9</v>
      </c>
      <c r="AK32" t="s">
        <v>163</v>
      </c>
      <c r="AU32" t="s">
        <v>163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</v>
      </c>
      <c r="BC32">
        <v>7.85</v>
      </c>
      <c r="BE32" t="s">
        <v>163</v>
      </c>
    </row>
    <row r="33" spans="5:65" hidden="1" x14ac:dyDescent="0.2">
      <c r="G33" t="s">
        <v>50</v>
      </c>
      <c r="H33">
        <v>4.55</v>
      </c>
      <c r="I33">
        <v>4.55</v>
      </c>
      <c r="J33">
        <v>4.6500000000000004</v>
      </c>
      <c r="K33">
        <v>4.6500000000000004</v>
      </c>
      <c r="L33">
        <v>4.9000000000000004</v>
      </c>
      <c r="M33">
        <v>4.9000000000000004</v>
      </c>
      <c r="N33">
        <v>5.0999999999999996</v>
      </c>
      <c r="O33">
        <v>5.0999999999999996</v>
      </c>
      <c r="Q33" t="s">
        <v>50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</row>
    <row r="34" spans="5:65" hidden="1" x14ac:dyDescent="0.2">
      <c r="G34" t="s">
        <v>76</v>
      </c>
      <c r="H34">
        <v>4.25</v>
      </c>
      <c r="I34">
        <v>4.25</v>
      </c>
      <c r="J34">
        <v>4.45</v>
      </c>
      <c r="K34">
        <v>4.45</v>
      </c>
      <c r="L34">
        <v>4.7</v>
      </c>
      <c r="M34">
        <v>4.7</v>
      </c>
      <c r="N34">
        <v>4.9000000000000004</v>
      </c>
      <c r="O34">
        <v>4.9000000000000004</v>
      </c>
      <c r="Q34" t="s">
        <v>76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</row>
    <row r="35" spans="5:65" hidden="1" x14ac:dyDescent="0.2">
      <c r="G35" t="s">
        <v>77</v>
      </c>
      <c r="H35">
        <v>4</v>
      </c>
      <c r="I35">
        <v>4</v>
      </c>
      <c r="J35">
        <v>4.2</v>
      </c>
      <c r="K35">
        <v>4.2</v>
      </c>
      <c r="L35">
        <v>4.45</v>
      </c>
      <c r="M35">
        <v>4.45</v>
      </c>
      <c r="N35">
        <v>4.5999999999999996</v>
      </c>
      <c r="O35">
        <v>4.5999999999999996</v>
      </c>
      <c r="Q35" t="s">
        <v>77</v>
      </c>
      <c r="AA35" t="s">
        <v>77</v>
      </c>
      <c r="AB35">
        <v>5.5</v>
      </c>
      <c r="AC35">
        <v>5.6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</row>
    <row r="36" spans="5:65" hidden="1" x14ac:dyDescent="0.2">
      <c r="G36" t="s">
        <v>46</v>
      </c>
      <c r="H36">
        <v>3.75</v>
      </c>
      <c r="I36">
        <v>3.75</v>
      </c>
      <c r="J36">
        <v>3.95</v>
      </c>
      <c r="K36">
        <v>3.95</v>
      </c>
      <c r="L36">
        <v>4.1500000000000004</v>
      </c>
      <c r="M36">
        <v>4.1500000000000004</v>
      </c>
      <c r="N36">
        <v>4.3499999999999996</v>
      </c>
      <c r="O36">
        <v>4.3499999999999996</v>
      </c>
      <c r="Q36" t="s">
        <v>46</v>
      </c>
      <c r="AA36" t="s">
        <v>46</v>
      </c>
      <c r="AB36">
        <v>5.35</v>
      </c>
      <c r="AC36">
        <v>5.35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</row>
    <row r="37" spans="5:65" hidden="1" x14ac:dyDescent="0.2">
      <c r="G37" t="s">
        <v>82</v>
      </c>
      <c r="H37">
        <v>3.5</v>
      </c>
      <c r="I37">
        <v>3.5</v>
      </c>
      <c r="J37">
        <v>3.7</v>
      </c>
      <c r="K37">
        <v>3.7</v>
      </c>
      <c r="L37">
        <v>4</v>
      </c>
      <c r="M37">
        <v>4</v>
      </c>
      <c r="N37">
        <v>4.2</v>
      </c>
      <c r="O37">
        <v>4.2</v>
      </c>
      <c r="Q37" t="s">
        <v>82</v>
      </c>
      <c r="AA37" t="s">
        <v>82</v>
      </c>
      <c r="AB37">
        <v>5.05</v>
      </c>
      <c r="AC37">
        <v>5.05</v>
      </c>
      <c r="AD37">
        <f t="shared" ref="AD37" si="1">+(AD36+AD38)/2</f>
        <v>5.3</v>
      </c>
      <c r="AE37">
        <v>5.5</v>
      </c>
      <c r="AF37">
        <f t="shared" ref="AF37:AH37" si="2">+(AF36+AF38)/2</f>
        <v>5.45</v>
      </c>
      <c r="AG37">
        <f t="shared" si="2"/>
        <v>5.8</v>
      </c>
      <c r="AH37">
        <f t="shared" si="2"/>
        <v>5.6</v>
      </c>
      <c r="AI37">
        <v>5.95</v>
      </c>
      <c r="AK37" t="s">
        <v>82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</row>
    <row r="38" spans="5:65" hidden="1" x14ac:dyDescent="0.2">
      <c r="G38" t="s">
        <v>45</v>
      </c>
      <c r="H38">
        <v>3.2</v>
      </c>
      <c r="I38">
        <v>3.2</v>
      </c>
      <c r="J38">
        <v>3.4</v>
      </c>
      <c r="K38">
        <v>3.4</v>
      </c>
      <c r="L38">
        <v>3.6</v>
      </c>
      <c r="M38">
        <v>3.6</v>
      </c>
      <c r="N38">
        <v>3.75</v>
      </c>
      <c r="O38">
        <v>3.75</v>
      </c>
      <c r="Q38" t="s">
        <v>45</v>
      </c>
      <c r="AA38" t="s">
        <v>45</v>
      </c>
      <c r="AB38">
        <v>4.5999999999999996</v>
      </c>
      <c r="AC38">
        <v>4.5999999999999996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</row>
    <row r="39" spans="5:65" hidden="1" x14ac:dyDescent="0.2">
      <c r="G39" t="s">
        <v>68</v>
      </c>
      <c r="H39">
        <v>2.95</v>
      </c>
      <c r="I39">
        <v>2.95</v>
      </c>
      <c r="J39">
        <v>3.1</v>
      </c>
      <c r="K39">
        <v>3.1</v>
      </c>
      <c r="L39">
        <v>3.3</v>
      </c>
      <c r="M39">
        <v>3.3</v>
      </c>
      <c r="N39">
        <v>3.45</v>
      </c>
      <c r="O39">
        <v>3.45</v>
      </c>
      <c r="Q39" t="s">
        <v>68</v>
      </c>
      <c r="AA39" t="s">
        <v>68</v>
      </c>
      <c r="AB39">
        <v>4.2</v>
      </c>
      <c r="AC39">
        <v>4.2</v>
      </c>
      <c r="AD39">
        <v>4.8</v>
      </c>
      <c r="AE39">
        <v>5.15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</row>
    <row r="40" spans="5:65" hidden="1" x14ac:dyDescent="0.2">
      <c r="G40" t="s">
        <v>71</v>
      </c>
      <c r="H40" s="236">
        <v>186</v>
      </c>
      <c r="I40" s="236"/>
      <c r="J40" s="236">
        <v>209</v>
      </c>
      <c r="K40" s="236"/>
      <c r="L40" s="236">
        <v>232</v>
      </c>
      <c r="M40" s="236"/>
      <c r="N40" s="236">
        <v>255</v>
      </c>
      <c r="O40" s="236"/>
      <c r="R40" s="236">
        <v>179</v>
      </c>
      <c r="S40" s="236"/>
      <c r="T40" s="236">
        <v>202</v>
      </c>
      <c r="U40" s="236"/>
      <c r="V40" s="236">
        <v>225</v>
      </c>
      <c r="W40" s="236"/>
      <c r="X40" s="236">
        <v>248</v>
      </c>
      <c r="Y40" s="236"/>
      <c r="AB40" s="236">
        <v>219</v>
      </c>
      <c r="AC40" s="236"/>
      <c r="AD40" s="236">
        <v>242</v>
      </c>
      <c r="AE40" s="236"/>
      <c r="AF40" s="236">
        <v>265</v>
      </c>
      <c r="AG40" s="236"/>
      <c r="AH40" s="236">
        <v>288</v>
      </c>
      <c r="AI40" s="236"/>
      <c r="AL40" s="236">
        <v>198</v>
      </c>
      <c r="AM40" s="236"/>
      <c r="AN40" s="236">
        <v>233</v>
      </c>
      <c r="AO40" s="236"/>
      <c r="AP40" s="236">
        <v>256</v>
      </c>
      <c r="AQ40" s="236"/>
      <c r="AR40" s="236">
        <v>279</v>
      </c>
      <c r="AS40" s="236"/>
      <c r="AV40" s="236">
        <v>265</v>
      </c>
      <c r="AW40" s="236"/>
      <c r="AX40" s="236">
        <v>288</v>
      </c>
      <c r="AY40" s="236"/>
      <c r="AZ40" s="236">
        <v>311</v>
      </c>
      <c r="BA40" s="236"/>
      <c r="BB40" s="236">
        <v>334</v>
      </c>
      <c r="BC40" s="236"/>
      <c r="BF40" s="236">
        <v>272</v>
      </c>
      <c r="BG40" s="236"/>
      <c r="BH40" s="236">
        <v>295</v>
      </c>
      <c r="BI40" s="236"/>
      <c r="BJ40" s="236">
        <v>318</v>
      </c>
      <c r="BK40" s="236"/>
      <c r="BL40" s="236">
        <v>341</v>
      </c>
      <c r="BM40" s="236"/>
    </row>
    <row r="41" spans="5:65" hidden="1" x14ac:dyDescent="0.2">
      <c r="G41" t="s">
        <v>72</v>
      </c>
      <c r="H41" s="236">
        <v>62</v>
      </c>
      <c r="I41" s="236"/>
      <c r="J41" s="236">
        <v>72</v>
      </c>
      <c r="K41" s="236"/>
      <c r="L41" s="236">
        <v>82</v>
      </c>
      <c r="M41" s="236"/>
      <c r="N41" s="236">
        <v>92</v>
      </c>
      <c r="O41" s="236"/>
      <c r="R41" s="236">
        <v>61</v>
      </c>
      <c r="S41" s="236"/>
      <c r="T41" s="236">
        <v>71</v>
      </c>
      <c r="U41" s="236"/>
      <c r="V41" s="236">
        <v>81</v>
      </c>
      <c r="W41" s="236"/>
      <c r="X41" s="236">
        <v>91</v>
      </c>
      <c r="Y41" s="236"/>
      <c r="AB41" s="236">
        <v>69</v>
      </c>
      <c r="AC41" s="236"/>
      <c r="AD41" s="236">
        <v>79</v>
      </c>
      <c r="AE41" s="236"/>
      <c r="AF41" s="236">
        <v>89</v>
      </c>
      <c r="AG41" s="236"/>
      <c r="AH41" s="236">
        <v>99</v>
      </c>
      <c r="AI41" s="236"/>
      <c r="AL41" s="236">
        <v>69</v>
      </c>
      <c r="AM41" s="236"/>
      <c r="AN41" s="236">
        <v>76</v>
      </c>
      <c r="AO41" s="236"/>
      <c r="AP41" s="236">
        <v>84.5</v>
      </c>
      <c r="AQ41" s="236"/>
      <c r="AR41" s="236">
        <v>94.5</v>
      </c>
      <c r="AS41" s="236"/>
      <c r="AV41" s="236">
        <v>89.5</v>
      </c>
      <c r="AW41" s="236"/>
      <c r="AX41" s="236">
        <v>99.5</v>
      </c>
      <c r="AY41" s="236"/>
      <c r="AZ41" s="236">
        <v>109.5</v>
      </c>
      <c r="BA41" s="236"/>
      <c r="BB41" s="236">
        <v>119.5</v>
      </c>
      <c r="BC41" s="236"/>
      <c r="BF41" s="236">
        <v>86</v>
      </c>
      <c r="BG41" s="236"/>
      <c r="BH41" s="236">
        <v>96</v>
      </c>
      <c r="BI41" s="236"/>
      <c r="BJ41" s="236">
        <v>106</v>
      </c>
      <c r="BK41" s="236"/>
      <c r="BL41" s="236">
        <v>116</v>
      </c>
      <c r="BM41" s="236"/>
    </row>
    <row r="42" spans="5:65" hidden="1" x14ac:dyDescent="0.2">
      <c r="E42" t="s">
        <v>49</v>
      </c>
      <c r="G42" t="str">
        <f>+DIM!$AK$20&amp;"+"&amp;DIM!$S$14</f>
        <v>251+250</v>
      </c>
      <c r="H42" s="100">
        <f>+VLOOKUP($G$42,$G$16:$O$39,2,FALSE)</f>
        <v>4.3499999999999996</v>
      </c>
      <c r="I42" s="100">
        <f>+VLOOKUP($G$42,$G$16:$O$39,3,FALSE)</f>
        <v>4.3499999999999996</v>
      </c>
      <c r="J42" s="100">
        <f>+VLOOKUP($G$42,$G$16:$O$39,4,FALSE)</f>
        <v>4.55</v>
      </c>
      <c r="K42" s="100">
        <f>+VLOOKUP($G$42,$G$16:$O$39,5,FALSE)</f>
        <v>4.55</v>
      </c>
      <c r="L42" s="100">
        <f>+VLOOKUP($G$42,$G$16:$O$39,6,FALSE)</f>
        <v>4.8</v>
      </c>
      <c r="M42" s="100">
        <f>+VLOOKUP($G$42,$G$16:$O$39,7,FALSE)</f>
        <v>4.8</v>
      </c>
      <c r="N42" s="100">
        <f>+VLOOKUP($G$42,$G$16:$O$39,8,FALSE)</f>
        <v>5</v>
      </c>
      <c r="O42" s="100">
        <f>+VLOOKUP($G$42,$G$16:$O$39,9,FALSE)</f>
        <v>5</v>
      </c>
      <c r="Q42" t="str">
        <f>+DIM!$AK$20&amp;"+"&amp;DIM!$S$14</f>
        <v>251+250</v>
      </c>
      <c r="R42" s="100">
        <f>+VLOOKUP($Q$42,$Q$16:$Y$39,2,FALSE)</f>
        <v>0</v>
      </c>
      <c r="S42" s="100">
        <f>+VLOOKUP($Q$42,$Q$16:$Y$39,3,FALSE)</f>
        <v>0</v>
      </c>
      <c r="T42" s="100">
        <f>+VLOOKUP($Q$42,$Q$16:$Y$39,4,FALSE)</f>
        <v>0</v>
      </c>
      <c r="U42" s="100">
        <f>+VLOOKUP($Q$42,$Q$16:$Y$39,5,FALSE)</f>
        <v>0</v>
      </c>
      <c r="V42" s="100">
        <f>+VLOOKUP($Q$42,$Q$16:$Y$39,6,FALSE)</f>
        <v>0</v>
      </c>
      <c r="W42" s="100">
        <f>+VLOOKUP($Q$42,$Q$16:$Y$39,7,FALSE)</f>
        <v>0</v>
      </c>
      <c r="X42" s="100">
        <f>+VLOOKUP($Q$42,$Q$16:$Y$39,8,FALSE)</f>
        <v>0</v>
      </c>
      <c r="Y42" s="100">
        <f>+VLOOKUP($Q$42,$Q$16:$Y$39,9,FALSE)</f>
        <v>0</v>
      </c>
      <c r="AA42" t="str">
        <f>+DIM!$AK$20&amp;"+"&amp;DIM!$S$14</f>
        <v>251+250</v>
      </c>
      <c r="AB42" s="100">
        <f>+VLOOKUP($AA$42,$AA$16:$AI$41,2,FALSE)</f>
        <v>5.55</v>
      </c>
      <c r="AC42" s="100">
        <f>+VLOOKUP($AA$42,$AA$16:$AI$41,3,FALSE)</f>
        <v>5.95</v>
      </c>
      <c r="AD42" s="100">
        <f>+VLOOKUP($AA$42,$AA$16:$AI$41,4,FALSE)</f>
        <v>5.9</v>
      </c>
      <c r="AE42" s="100">
        <f>+VLOOKUP($AA$42,$AA$16:$AI$41,5,FALSE)</f>
        <v>6.3</v>
      </c>
      <c r="AF42" s="100">
        <f>+VLOOKUP($AA$42,$AA$16:$AI$41,6,FALSE)</f>
        <v>6</v>
      </c>
      <c r="AG42" s="100">
        <f>+VLOOKUP($AA$42,$AA$16:$AI$41,7,FALSE)</f>
        <v>6.45</v>
      </c>
      <c r="AH42" s="100">
        <f>+VLOOKUP($AA$42,$AA$16:$AI$41,8,FALSE)</f>
        <v>6.15</v>
      </c>
      <c r="AI42" s="100">
        <f>+VLOOKUP($AA$42,$AA$16:$AI$41,9,FALSE)</f>
        <v>6.65</v>
      </c>
      <c r="AK42" t="str">
        <f>+DIM!$AK$20&amp;"+"&amp;DIM!$S$14</f>
        <v>251+250</v>
      </c>
      <c r="AL42" s="100">
        <f>+VLOOKUP($AK$42,$AK$16:$AS$41,2,FALSE)</f>
        <v>0</v>
      </c>
      <c r="AM42" s="100">
        <f>+VLOOKUP($AK$42,$AK$16:$AS$41,3,FALSE)</f>
        <v>0</v>
      </c>
      <c r="AN42" s="100">
        <f>+VLOOKUP($AK$42,$AK$16:$AS$41,4,FALSE)</f>
        <v>0</v>
      </c>
      <c r="AO42" s="100">
        <f>+VLOOKUP($AK$42,$AK$16:$AS$41,5,FALSE)</f>
        <v>0</v>
      </c>
      <c r="AP42" s="100">
        <f>+VLOOKUP($AK$42,$AK$16:$AS$41,6,FALSE)</f>
        <v>0</v>
      </c>
      <c r="AQ42" s="100">
        <f>+VLOOKUP($AK$42,$AK$16:$AS$41,7,FALSE)</f>
        <v>0</v>
      </c>
      <c r="AR42" s="100">
        <f>+VLOOKUP($AK$42,$AK$16:$AS$41,8,FALSE)</f>
        <v>0</v>
      </c>
      <c r="AS42" s="100">
        <f>+VLOOKUP($AK$42,$AK$16:$AS$41,9,FALSE)</f>
        <v>0</v>
      </c>
      <c r="AU42" t="str">
        <f>+DIM!$AK$20&amp;"+"&amp;DIM!$S$14</f>
        <v>251+250</v>
      </c>
      <c r="AV42" s="100">
        <f>+VLOOKUP($AU$42,$AU$16:$BC$41,2,FALSE)</f>
        <v>6.6</v>
      </c>
      <c r="AW42" s="100">
        <f>+VLOOKUP($AU$42,$AU$16:$BC$41,3,FALSE)</f>
        <v>7.1</v>
      </c>
      <c r="AX42" s="100">
        <f>+VLOOKUP($AU$42,$AU$16:$BC$41,4,FALSE)</f>
        <v>6.8</v>
      </c>
      <c r="AY42" s="100">
        <f>+VLOOKUP($AU$42,$AU$16:$BC$41,5,FALSE)</f>
        <v>7.3</v>
      </c>
      <c r="AZ42" s="100">
        <f>+VLOOKUP($AU$42,$AU$16:$BC$41,6,FALSE)</f>
        <v>6.9</v>
      </c>
      <c r="BA42" s="100">
        <f>+VLOOKUP($AU$42,$AU$16:$BC$41,7,FALSE)</f>
        <v>7.45</v>
      </c>
      <c r="BB42" s="100">
        <f>+VLOOKUP($AU$42,$AU$16:$BC$41,8,FALSE)</f>
        <v>7.05</v>
      </c>
      <c r="BC42" s="100">
        <f>+VLOOKUP($AU$42,$AU$16:$BC$41,9,FALSE)</f>
        <v>7.6</v>
      </c>
      <c r="BE42" t="str">
        <f>+DIM!$AK$20&amp;"+"&amp;DIM!$S$14</f>
        <v>251+250</v>
      </c>
      <c r="BF42" s="100">
        <f>+VLOOKUP($BE$42,$BE$16:$BM$41,2,FALSE)</f>
        <v>0</v>
      </c>
      <c r="BG42" s="100">
        <f>+VLOOKUP($BE$42,$BE$16:$BM$41,3,FALSE)</f>
        <v>0</v>
      </c>
      <c r="BH42" s="100">
        <f>+VLOOKUP($BE$42,$BE$16:$BM$41,4,FALSE)</f>
        <v>0</v>
      </c>
      <c r="BI42" s="100">
        <f>+VLOOKUP($BE$42,$BE$16:$BM$41,5,FALSE)</f>
        <v>0</v>
      </c>
      <c r="BJ42" s="100">
        <f>+VLOOKUP($BE$42,$BE$16:$BM$41,6,FALSE)</f>
        <v>0</v>
      </c>
      <c r="BK42" s="100">
        <f>+VLOOKUP($BE$42,$BE$16:$BM$41,7,FALSE)</f>
        <v>0</v>
      </c>
      <c r="BL42" s="100">
        <f>+VLOOKUP($BE$42,$BE$16:$BM$41,8,FALSE)</f>
        <v>0</v>
      </c>
      <c r="BM42" s="100">
        <f>+VLOOKUP($BE$42,$BE$16:$BM$41,9,FALSE)</f>
        <v>0</v>
      </c>
    </row>
    <row r="43" spans="5:65" hidden="1" x14ac:dyDescent="0.2">
      <c r="F43" t="s">
        <v>47</v>
      </c>
      <c r="G43" t="str">
        <f>+DIM!AD15</f>
        <v>1C</v>
      </c>
      <c r="H43" s="235">
        <f>+IF(DIM!$AD$15=$H$15,H42,I42)</f>
        <v>4.3499999999999996</v>
      </c>
      <c r="I43" s="235"/>
      <c r="J43" s="235">
        <f>+IF(DIM!$AD$15=$H$15,J42,K42)</f>
        <v>4.55</v>
      </c>
      <c r="K43" s="235"/>
      <c r="L43" s="235">
        <f>+IF(DIM!$AD$15=$H$15,L42,M42)</f>
        <v>4.8</v>
      </c>
      <c r="M43" s="235"/>
      <c r="N43" s="235">
        <f>+IF(DIM!$AD$15=$H$15,N42,O42)</f>
        <v>5</v>
      </c>
      <c r="O43" s="235"/>
      <c r="Q43" t="str">
        <f>+DIM!AD15</f>
        <v>1C</v>
      </c>
      <c r="R43" s="233">
        <f>+IF(DIM!$AD$15=ebsvs!$H$15,ebsvs!R42,ebsvs!S42)</f>
        <v>3.85</v>
      </c>
      <c r="S43" s="234"/>
      <c r="T43" s="233">
        <f>+IF(DIM!$AD$15=ebsvs!$H$15,ebsvs!T42,ebsvs!U42)</f>
        <v>4.05</v>
      </c>
      <c r="U43" s="234"/>
      <c r="V43" s="233">
        <f>+IF(DIM!$AD$15=ebsvs!$H$15,ebsvs!V42,ebsvs!W42)</f>
        <v>4.3</v>
      </c>
      <c r="W43" s="234"/>
      <c r="X43" s="233">
        <f>+IF(DIM!$AD$15=ebsvs!$H$15,ebsvs!X42,ebsvs!Y42)</f>
        <v>4.5</v>
      </c>
      <c r="Y43" s="234"/>
      <c r="AA43" t="str">
        <f>+DIM!AD15</f>
        <v>1C</v>
      </c>
      <c r="AB43" s="235">
        <f>+IF(DIM!$AD$15=$AB$15,AB42,AC42)</f>
        <v>5.95</v>
      </c>
      <c r="AC43" s="235"/>
      <c r="AD43" s="235">
        <f>+IF(DIM!$AD$15=$AB$15,AD42,AE42)</f>
        <v>6.3</v>
      </c>
      <c r="AE43" s="235"/>
      <c r="AF43" s="235">
        <f>+IF(DIM!$AD$15=$AB$15,AF42,AG42)</f>
        <v>6.45</v>
      </c>
      <c r="AG43" s="235"/>
      <c r="AH43" s="235">
        <f>+IF(DIM!$AD$15=$AB$15,AH42,AI42)</f>
        <v>6.65</v>
      </c>
      <c r="AI43" s="235"/>
      <c r="AK43" t="str">
        <f>+DIM!AD15</f>
        <v>1C</v>
      </c>
      <c r="AL43" s="233">
        <f>+IF(DIM!$AD$15=ebsvs!$H$15,ebsvs!AL42,ebsvs!AM42)</f>
        <v>4.8</v>
      </c>
      <c r="AM43" s="234"/>
      <c r="AN43" s="233">
        <f>+IF(DIM!$AD$15=ebsvs!$H$15,ebsvs!AN42,ebsvs!AO42)</f>
        <v>5.75</v>
      </c>
      <c r="AO43" s="234"/>
      <c r="AP43" s="233">
        <f>+IF(DIM!$AD$15=ebsvs!$H$15,ebsvs!AP42,ebsvs!AQ42)</f>
        <v>5.8</v>
      </c>
      <c r="AQ43" s="234"/>
      <c r="AR43" s="233">
        <f>+IF(DIM!$AD$15=ebsvs!$H$15,ebsvs!AR42,ebsvs!AS42)</f>
        <v>5.8</v>
      </c>
      <c r="AS43" s="234"/>
      <c r="AU43" t="str">
        <f>+AK43</f>
        <v>1C</v>
      </c>
      <c r="AV43" s="235">
        <f>+IF(DIM!$AD$15=$AV$15,AV42,AW42)</f>
        <v>7.1</v>
      </c>
      <c r="AW43" s="235"/>
      <c r="AX43" s="235">
        <f>+IF(DIM!$AD$15=$AV$15,AX42,AY42)</f>
        <v>7.3</v>
      </c>
      <c r="AY43" s="235"/>
      <c r="AZ43" s="235">
        <f>+IF(DIM!$AD$15=$AV$15,AZ42,BA42)</f>
        <v>7.45</v>
      </c>
      <c r="BA43" s="235"/>
      <c r="BB43" s="235">
        <f>+IF(DIM!$AD$15=$AV$15,BB42,BC42)</f>
        <v>7.6</v>
      </c>
      <c r="BC43" s="235"/>
      <c r="BE43" t="str">
        <f>+AU43</f>
        <v>1C</v>
      </c>
      <c r="BF43" s="233">
        <f>+IF(DIM!$AD$15=ebsvs!$H$15,ebsvs!BF42,ebsvs!BG42)</f>
        <v>6.05</v>
      </c>
      <c r="BG43" s="234"/>
      <c r="BH43" s="233">
        <f>+IF(DIM!$AD$15=ebsvs!$H$15,ebsvs!BH42,ebsvs!BI42)</f>
        <v>5.9</v>
      </c>
      <c r="BI43" s="234"/>
      <c r="BJ43" s="233">
        <f>+IF(DIM!$AD$15=ebsvs!$H$15,ebsvs!BJ42,ebsvs!BK42)</f>
        <v>5.75</v>
      </c>
      <c r="BK43" s="234"/>
      <c r="BL43" s="233">
        <f>+IF(DIM!$AD$15=ebsvs!$H$15,ebsvs!BL42,ebsvs!BM42)</f>
        <v>5.6</v>
      </c>
      <c r="BM43" s="234"/>
    </row>
    <row r="44" spans="5:65" hidden="1" x14ac:dyDescent="0.2">
      <c r="F44" t="s">
        <v>48</v>
      </c>
      <c r="G44" s="101">
        <f>+DIM!S32</f>
        <v>5</v>
      </c>
      <c r="K44" s="102">
        <f>+HLOOKUP(G44,H14:O43,30,FALSE)</f>
        <v>4.3499999999999996</v>
      </c>
      <c r="Q44" s="101">
        <f>+DIM!S32</f>
        <v>5</v>
      </c>
      <c r="U44" s="102">
        <f>+HLOOKUP(Q44,R14:Y43,30,FALSE)</f>
        <v>3.85</v>
      </c>
      <c r="AA44" s="101">
        <f>+DIM!S32</f>
        <v>5</v>
      </c>
      <c r="AE44" s="102">
        <f>+HLOOKUP(AA44,AB14:AI43,30,FALSE)</f>
        <v>5.95</v>
      </c>
      <c r="AK44" s="101">
        <f>+AA44</f>
        <v>5</v>
      </c>
      <c r="AO44" s="102">
        <f>+HLOOKUP(AK44,AL14:AS43,30,FALSE)</f>
        <v>4.8</v>
      </c>
      <c r="AU44" s="100">
        <f>+AK44</f>
        <v>5</v>
      </c>
      <c r="AY44" s="102">
        <f>+HLOOKUP(AU44,AV14:BC43,30,FALSE)</f>
        <v>7.1</v>
      </c>
      <c r="BE44" s="101">
        <f>+AU44</f>
        <v>5</v>
      </c>
      <c r="BI44" s="102">
        <f>+HLOOKUP(BE44,BF14:BM43,30,FALSE)</f>
        <v>6.05</v>
      </c>
    </row>
    <row r="45" spans="5:65" hidden="1" x14ac:dyDescent="0.2">
      <c r="E45">
        <f>+DIM!Q32</f>
        <v>15</v>
      </c>
      <c r="F45" t="s">
        <v>65</v>
      </c>
      <c r="K45" s="103" t="str">
        <f>+K10&amp;"+"&amp;G44</f>
        <v>12+5</v>
      </c>
      <c r="U45" s="103" t="str">
        <f>+U10&amp;"+"&amp;Q44</f>
        <v>12+5</v>
      </c>
      <c r="AE45" s="103" t="str">
        <f>+AE10&amp;"+"&amp;AA44</f>
        <v>15+5</v>
      </c>
      <c r="AO45" s="103" t="str">
        <f>+AO10&amp;"+"&amp;AK44</f>
        <v>15+5</v>
      </c>
      <c r="AY45" s="103" t="str">
        <f>+AY10&amp;"+"&amp;AU44</f>
        <v>20+5</v>
      </c>
      <c r="BI45" s="103" t="str">
        <f>+BI10&amp;"+"&amp;BE44</f>
        <v>20+5</v>
      </c>
    </row>
    <row r="46" spans="5:65" hidden="1" x14ac:dyDescent="0.2">
      <c r="F46" t="s">
        <v>66</v>
      </c>
      <c r="G46" t="s">
        <v>90</v>
      </c>
      <c r="K46" s="98">
        <f>+HLOOKUP(G44,H14:O40,27,FALSE)</f>
        <v>186</v>
      </c>
      <c r="U46" s="98">
        <f>+HLOOKUP(Q44,R14:Y40,27,FALSE)</f>
        <v>179</v>
      </c>
      <c r="AE46" s="98">
        <f>+HLOOKUP(AA44,AB14:AI40,27,FALSE)</f>
        <v>219</v>
      </c>
      <c r="AO46" s="98">
        <f>+HLOOKUP(AK44,AL14:AS40,27,FALSE)</f>
        <v>198</v>
      </c>
      <c r="AY46" s="98">
        <f>+HLOOKUP(AU44,AV14:BC40,27,FALSE)</f>
        <v>265</v>
      </c>
      <c r="BI46" s="98">
        <f>+HLOOKUP(BE44,BF14:BM40,27,FALSE)</f>
        <v>272</v>
      </c>
    </row>
    <row r="47" spans="5:65" hidden="1" x14ac:dyDescent="0.2">
      <c r="F47">
        <v>12</v>
      </c>
      <c r="G47">
        <f>+K44</f>
        <v>4.3499999999999996</v>
      </c>
      <c r="H47">
        <f>+K46</f>
        <v>186</v>
      </c>
      <c r="I47">
        <f>+K47</f>
        <v>62</v>
      </c>
      <c r="J47">
        <f>+K48</f>
        <v>23.03</v>
      </c>
      <c r="K47" s="98">
        <f>+HLOOKUP(G44,H14:O41,28,FALSE)</f>
        <v>62</v>
      </c>
      <c r="U47" s="98">
        <f>+HLOOKUP(Q44,R14:Y41,28,FALSE)</f>
        <v>61</v>
      </c>
      <c r="AE47" s="98">
        <f>+HLOOKUP(AA44,AB14:AI41,28,FALSE)</f>
        <v>69</v>
      </c>
      <c r="AO47" s="98">
        <f>+HLOOKUP(AK44,AL14:AS41,28,FALSE)</f>
        <v>69</v>
      </c>
      <c r="AY47" s="98">
        <f>+HLOOKUP(AU44,AV14:BC41,28,FALSE)</f>
        <v>89.5</v>
      </c>
      <c r="BI47" s="98">
        <f>+HLOOKUP(BE44,BF14:BM41,28,FALSE)</f>
        <v>86</v>
      </c>
    </row>
    <row r="48" spans="5:65" hidden="1" x14ac:dyDescent="0.2">
      <c r="F48">
        <v>15</v>
      </c>
      <c r="G48">
        <f>+AE44</f>
        <v>5.95</v>
      </c>
      <c r="H48">
        <f>+AE46</f>
        <v>219</v>
      </c>
      <c r="I48">
        <f>+AE47</f>
        <v>69</v>
      </c>
      <c r="J48">
        <f>+AE48</f>
        <v>27.31</v>
      </c>
      <c r="K48" s="98">
        <f>+HLOOKUP(K45,H113:O115,3,FALSE)</f>
        <v>23.03</v>
      </c>
      <c r="U48" s="98">
        <f>+HLOOKUP(U45,R113:Y115,3,FALSE)</f>
        <v>22.49</v>
      </c>
      <c r="AE48" s="98">
        <f>+HLOOKUP(AE45,AB113:AI115,3,FALSE)</f>
        <v>27.31</v>
      </c>
      <c r="AO48" s="98">
        <f>+HLOOKUP(AO45,AL113:AS115,3,FALSE)</f>
        <v>27.31</v>
      </c>
      <c r="AY48" s="98">
        <f>+HLOOKUP(AY45,AV113:BC115,3,FALSE)</f>
        <v>31.25</v>
      </c>
      <c r="BI48" s="98">
        <f>+HLOOKUP(BI45,BF113:BM115,3,FALSE)</f>
        <v>31.25</v>
      </c>
    </row>
    <row r="49" spans="5:65" ht="19.5" hidden="1" x14ac:dyDescent="0.35">
      <c r="F49">
        <v>20</v>
      </c>
      <c r="G49">
        <f>+AY44</f>
        <v>7.1</v>
      </c>
      <c r="H49">
        <f>+AY46</f>
        <v>265</v>
      </c>
      <c r="I49">
        <f>+AY47</f>
        <v>89.5</v>
      </c>
      <c r="J49">
        <f>+AY48</f>
        <v>31.25</v>
      </c>
      <c r="K49" s="97">
        <v>12</v>
      </c>
      <c r="U49" s="97">
        <v>12</v>
      </c>
      <c r="AE49" s="97">
        <v>15</v>
      </c>
      <c r="AO49" s="97">
        <v>15</v>
      </c>
      <c r="AY49" s="97">
        <v>20</v>
      </c>
      <c r="BI49" s="97">
        <v>20</v>
      </c>
    </row>
    <row r="50" spans="5:65" hidden="1" x14ac:dyDescent="0.2">
      <c r="E50" s="98" t="s">
        <v>301</v>
      </c>
      <c r="F50" t="s">
        <v>64</v>
      </c>
      <c r="G50">
        <f>IF($E$45&gt;20,"--",+VLOOKUP(DIM!Q32,F47:I49,2,FALSE))</f>
        <v>5.95</v>
      </c>
      <c r="K50" s="98" t="s">
        <v>78</v>
      </c>
      <c r="U50" s="98" t="s">
        <v>83</v>
      </c>
      <c r="AE50" s="98" t="s">
        <v>84</v>
      </c>
      <c r="AO50" s="98" t="s">
        <v>79</v>
      </c>
      <c r="AY50" s="98" t="s">
        <v>84</v>
      </c>
      <c r="BI50" s="98" t="s">
        <v>79</v>
      </c>
    </row>
    <row r="51" spans="5:65" hidden="1" x14ac:dyDescent="0.2">
      <c r="E51" s="98" t="s">
        <v>88</v>
      </c>
      <c r="F51" t="s">
        <v>75</v>
      </c>
      <c r="G51">
        <f>IF($E$45&gt;20,0,+VLOOKUP(DIM!Q32,F47:I49,3,FALSE))</f>
        <v>219</v>
      </c>
    </row>
    <row r="52" spans="5:65" hidden="1" x14ac:dyDescent="0.2">
      <c r="F52" t="s">
        <v>72</v>
      </c>
      <c r="G52">
        <f>IF($E$45&gt;20,0,+VLOOKUP(DIM!Q32,F47:I49,4,FALSE))</f>
        <v>69</v>
      </c>
    </row>
    <row r="53" spans="5:65" hidden="1" x14ac:dyDescent="0.2">
      <c r="F53" t="s">
        <v>275</v>
      </c>
      <c r="G53">
        <f>IF($E$45&gt;20,0,+VLOOKUP(DIM!Q32,F47:J49,5,FALSE))</f>
        <v>27.31</v>
      </c>
    </row>
    <row r="54" spans="5:65" hidden="1" x14ac:dyDescent="0.2"/>
    <row r="55" spans="5:65" hidden="1" x14ac:dyDescent="0.2"/>
    <row r="56" spans="5:65" ht="19.5" hidden="1" x14ac:dyDescent="0.35">
      <c r="K56" s="97">
        <v>12</v>
      </c>
      <c r="L56" s="97" t="s">
        <v>87</v>
      </c>
      <c r="U56" s="97">
        <v>12</v>
      </c>
      <c r="V56" s="97" t="s">
        <v>87</v>
      </c>
      <c r="AE56" s="97">
        <v>15</v>
      </c>
      <c r="AF56" s="97" t="s">
        <v>87</v>
      </c>
      <c r="AO56" s="97">
        <v>15</v>
      </c>
      <c r="AP56" s="97" t="s">
        <v>87</v>
      </c>
      <c r="AY56" s="97">
        <v>20</v>
      </c>
      <c r="AZ56" s="97" t="s">
        <v>87</v>
      </c>
      <c r="BI56" s="97">
        <v>20</v>
      </c>
      <c r="BJ56" s="97" t="s">
        <v>87</v>
      </c>
    </row>
    <row r="57" spans="5:65" hidden="1" x14ac:dyDescent="0.2">
      <c r="K57" s="98" t="s">
        <v>78</v>
      </c>
      <c r="U57" s="98" t="s">
        <v>83</v>
      </c>
      <c r="AE57" s="98" t="s">
        <v>84</v>
      </c>
      <c r="AO57" s="98" t="s">
        <v>79</v>
      </c>
      <c r="AY57" s="98" t="s">
        <v>84</v>
      </c>
      <c r="BI57" s="98" t="s">
        <v>79</v>
      </c>
    </row>
    <row r="58" spans="5:65" hidden="1" x14ac:dyDescent="0.2">
      <c r="H58">
        <v>137</v>
      </c>
      <c r="R58">
        <v>937</v>
      </c>
      <c r="T58">
        <v>937</v>
      </c>
      <c r="U58">
        <v>937</v>
      </c>
      <c r="V58">
        <v>937</v>
      </c>
      <c r="W58">
        <v>937</v>
      </c>
      <c r="X58">
        <v>937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179</v>
      </c>
      <c r="AR58">
        <v>179</v>
      </c>
      <c r="AV58">
        <v>179</v>
      </c>
      <c r="AX58">
        <v>179</v>
      </c>
      <c r="AZ58">
        <v>179</v>
      </c>
      <c r="BB58">
        <v>179</v>
      </c>
      <c r="BF58">
        <v>179</v>
      </c>
      <c r="BH58">
        <v>179</v>
      </c>
      <c r="BJ58">
        <v>179</v>
      </c>
      <c r="BL58">
        <v>179</v>
      </c>
    </row>
    <row r="59" spans="5:65" hidden="1" x14ac:dyDescent="0.2">
      <c r="H59" s="235" t="s">
        <v>302</v>
      </c>
      <c r="I59" s="235"/>
      <c r="J59" s="235" t="s">
        <v>303</v>
      </c>
      <c r="K59" s="235"/>
      <c r="L59" s="235" t="s">
        <v>304</v>
      </c>
      <c r="M59" s="235"/>
      <c r="N59" s="235" t="s">
        <v>305</v>
      </c>
      <c r="O59" s="235"/>
      <c r="R59" s="235" t="s">
        <v>302</v>
      </c>
      <c r="S59" s="235"/>
      <c r="T59" s="235" t="s">
        <v>303</v>
      </c>
      <c r="U59" s="235"/>
      <c r="V59" s="235" t="s">
        <v>304</v>
      </c>
      <c r="W59" s="235"/>
      <c r="X59" s="235" t="s">
        <v>305</v>
      </c>
      <c r="Y59" s="235"/>
      <c r="AB59" s="235" t="s">
        <v>306</v>
      </c>
      <c r="AC59" s="235"/>
      <c r="AD59" s="235" t="s">
        <v>307</v>
      </c>
      <c r="AE59" s="235"/>
      <c r="AF59" s="235" t="s">
        <v>308</v>
      </c>
      <c r="AG59" s="235"/>
      <c r="AH59" s="235" t="s">
        <v>309</v>
      </c>
      <c r="AI59" s="235"/>
      <c r="AL59" s="235" t="s">
        <v>306</v>
      </c>
      <c r="AM59" s="235"/>
      <c r="AN59" s="235" t="s">
        <v>307</v>
      </c>
      <c r="AO59" s="235"/>
      <c r="AP59" s="235" t="s">
        <v>308</v>
      </c>
      <c r="AQ59" s="235"/>
      <c r="AR59" s="235" t="s">
        <v>309</v>
      </c>
      <c r="AS59" s="235"/>
      <c r="AV59" s="235" t="s">
        <v>310</v>
      </c>
      <c r="AW59" s="235"/>
      <c r="AX59" s="235" t="s">
        <v>311</v>
      </c>
      <c r="AY59" s="235"/>
      <c r="AZ59" s="235" t="s">
        <v>312</v>
      </c>
      <c r="BA59" s="235"/>
      <c r="BB59" s="235" t="s">
        <v>313</v>
      </c>
      <c r="BC59" s="235"/>
      <c r="BF59" s="235" t="s">
        <v>310</v>
      </c>
      <c r="BG59" s="235"/>
      <c r="BH59" s="235" t="s">
        <v>311</v>
      </c>
      <c r="BI59" s="235"/>
      <c r="BJ59" s="235" t="s">
        <v>312</v>
      </c>
      <c r="BK59" s="235"/>
      <c r="BL59" s="235" t="s">
        <v>313</v>
      </c>
      <c r="BM59" s="235"/>
    </row>
    <row r="60" spans="5:65" hidden="1" x14ac:dyDescent="0.2">
      <c r="H60" s="235">
        <v>5</v>
      </c>
      <c r="I60" s="235"/>
      <c r="J60" s="235">
        <v>6</v>
      </c>
      <c r="K60" s="235"/>
      <c r="L60" s="235">
        <v>7</v>
      </c>
      <c r="M60" s="235"/>
      <c r="N60" s="235">
        <v>8</v>
      </c>
      <c r="O60" s="235"/>
      <c r="R60" s="235">
        <v>5</v>
      </c>
      <c r="S60" s="235"/>
      <c r="T60" s="235">
        <v>6</v>
      </c>
      <c r="U60" s="235"/>
      <c r="V60" s="235">
        <v>7</v>
      </c>
      <c r="W60" s="235"/>
      <c r="X60" s="235">
        <v>8</v>
      </c>
      <c r="Y60" s="235"/>
      <c r="AB60" s="235">
        <v>5</v>
      </c>
      <c r="AC60" s="235"/>
      <c r="AD60" s="235">
        <v>6</v>
      </c>
      <c r="AE60" s="235"/>
      <c r="AF60" s="235">
        <v>7</v>
      </c>
      <c r="AG60" s="235"/>
      <c r="AH60" s="235">
        <v>8</v>
      </c>
      <c r="AI60" s="235"/>
      <c r="AL60" s="235">
        <v>5</v>
      </c>
      <c r="AM60" s="235"/>
      <c r="AN60" s="235">
        <v>6</v>
      </c>
      <c r="AO60" s="235"/>
      <c r="AP60" s="235">
        <v>7</v>
      </c>
      <c r="AQ60" s="235"/>
      <c r="AR60" s="235">
        <v>8</v>
      </c>
      <c r="AS60" s="235"/>
      <c r="AV60" s="235">
        <v>5</v>
      </c>
      <c r="AW60" s="235"/>
      <c r="AX60" s="235">
        <v>6</v>
      </c>
      <c r="AY60" s="235"/>
      <c r="AZ60" s="235">
        <v>7</v>
      </c>
      <c r="BA60" s="235"/>
      <c r="BB60" s="235">
        <v>8</v>
      </c>
      <c r="BC60" s="235"/>
      <c r="BF60" s="235">
        <v>5</v>
      </c>
      <c r="BG60" s="235"/>
      <c r="BH60" s="235">
        <v>6</v>
      </c>
      <c r="BI60" s="235"/>
      <c r="BJ60" s="235">
        <v>7</v>
      </c>
      <c r="BK60" s="235"/>
      <c r="BL60" s="235">
        <v>8</v>
      </c>
      <c r="BM60" s="235"/>
    </row>
    <row r="61" spans="5:65" hidden="1" x14ac:dyDescent="0.2">
      <c r="H61" s="99" t="s">
        <v>24</v>
      </c>
      <c r="I61" s="99" t="s">
        <v>25</v>
      </c>
      <c r="J61" s="99" t="s">
        <v>24</v>
      </c>
      <c r="K61" s="99" t="s">
        <v>25</v>
      </c>
      <c r="L61" s="99" t="s">
        <v>24</v>
      </c>
      <c r="M61" s="99" t="s">
        <v>25</v>
      </c>
      <c r="N61" s="99" t="s">
        <v>24</v>
      </c>
      <c r="O61" s="99" t="s">
        <v>25</v>
      </c>
      <c r="R61" s="99" t="s">
        <v>24</v>
      </c>
      <c r="S61" s="99" t="s">
        <v>25</v>
      </c>
      <c r="T61" s="99" t="s">
        <v>24</v>
      </c>
      <c r="U61" s="99" t="s">
        <v>25</v>
      </c>
      <c r="V61" s="99" t="s">
        <v>24</v>
      </c>
      <c r="W61" s="99" t="s">
        <v>25</v>
      </c>
      <c r="X61" s="99" t="s">
        <v>24</v>
      </c>
      <c r="Y61" s="99" t="s">
        <v>25</v>
      </c>
      <c r="AB61" s="99" t="s">
        <v>24</v>
      </c>
      <c r="AC61" s="99" t="s">
        <v>25</v>
      </c>
      <c r="AD61" s="99" t="s">
        <v>24</v>
      </c>
      <c r="AE61" s="99" t="s">
        <v>25</v>
      </c>
      <c r="AF61" s="99" t="s">
        <v>24</v>
      </c>
      <c r="AG61" s="99" t="s">
        <v>25</v>
      </c>
      <c r="AH61" s="99" t="s">
        <v>24</v>
      </c>
      <c r="AI61" s="99" t="s">
        <v>25</v>
      </c>
      <c r="AL61" s="99" t="s">
        <v>24</v>
      </c>
      <c r="AM61" s="99" t="s">
        <v>25</v>
      </c>
      <c r="AN61" s="99" t="s">
        <v>24</v>
      </c>
      <c r="AO61" s="99" t="s">
        <v>25</v>
      </c>
      <c r="AP61" s="99" t="s">
        <v>24</v>
      </c>
      <c r="AQ61" s="99" t="s">
        <v>25</v>
      </c>
      <c r="AR61" s="99" t="s">
        <v>24</v>
      </c>
      <c r="AS61" s="99" t="s">
        <v>25</v>
      </c>
      <c r="AV61" s="99" t="s">
        <v>24</v>
      </c>
      <c r="AW61" s="99" t="s">
        <v>25</v>
      </c>
      <c r="AX61" s="99" t="s">
        <v>24</v>
      </c>
      <c r="AY61" s="99" t="s">
        <v>25</v>
      </c>
      <c r="AZ61" s="99" t="s">
        <v>24</v>
      </c>
      <c r="BA61" s="99" t="s">
        <v>25</v>
      </c>
      <c r="BB61" s="99" t="s">
        <v>24</v>
      </c>
      <c r="BC61" s="99" t="s">
        <v>25</v>
      </c>
      <c r="BF61" s="99" t="s">
        <v>24</v>
      </c>
      <c r="BG61" s="99" t="s">
        <v>25</v>
      </c>
      <c r="BH61" s="99" t="s">
        <v>24</v>
      </c>
      <c r="BI61" s="99" t="s">
        <v>25</v>
      </c>
      <c r="BJ61" s="99" t="s">
        <v>24</v>
      </c>
      <c r="BK61" s="99" t="s">
        <v>25</v>
      </c>
      <c r="BL61" s="99" t="s">
        <v>24</v>
      </c>
      <c r="BM61" s="99" t="s">
        <v>25</v>
      </c>
    </row>
    <row r="62" spans="5:65" hidden="1" x14ac:dyDescent="0.2">
      <c r="G62" t="s">
        <v>161</v>
      </c>
      <c r="H62">
        <v>7</v>
      </c>
      <c r="I62">
        <v>7.5</v>
      </c>
      <c r="J62">
        <v>7.2</v>
      </c>
      <c r="K62">
        <v>7.75</v>
      </c>
      <c r="L62">
        <v>7.4</v>
      </c>
      <c r="M62">
        <v>8</v>
      </c>
      <c r="N62">
        <v>7.6</v>
      </c>
      <c r="O62">
        <v>8.25</v>
      </c>
      <c r="Q62" t="s">
        <v>161</v>
      </c>
      <c r="AA62" t="s">
        <v>161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8.4</v>
      </c>
      <c r="AI62">
        <v>9</v>
      </c>
      <c r="AK62" t="s">
        <v>161</v>
      </c>
      <c r="AU62" t="s">
        <v>161</v>
      </c>
      <c r="AV62">
        <v>9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161</v>
      </c>
    </row>
    <row r="63" spans="5:65" hidden="1" x14ac:dyDescent="0.2">
      <c r="G63" t="s">
        <v>34</v>
      </c>
      <c r="H63">
        <v>6.6</v>
      </c>
      <c r="I63">
        <v>7.12</v>
      </c>
      <c r="J63">
        <v>6.8</v>
      </c>
      <c r="K63">
        <v>7.38</v>
      </c>
      <c r="L63">
        <v>6.4</v>
      </c>
      <c r="M63">
        <v>7</v>
      </c>
      <c r="N63">
        <v>7.6</v>
      </c>
      <c r="O63">
        <v>7.85</v>
      </c>
      <c r="Q63" t="s">
        <v>34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</row>
    <row r="64" spans="5:65" hidden="1" x14ac:dyDescent="0.2">
      <c r="G64" t="s">
        <v>35</v>
      </c>
      <c r="H64">
        <v>6.3</v>
      </c>
      <c r="I64">
        <v>6.8</v>
      </c>
      <c r="J64">
        <v>6.47</v>
      </c>
      <c r="K64">
        <v>7</v>
      </c>
      <c r="L64">
        <v>6.45</v>
      </c>
      <c r="M64">
        <v>7</v>
      </c>
      <c r="N64">
        <v>6.85</v>
      </c>
      <c r="O64">
        <v>7.5</v>
      </c>
      <c r="Q64" t="s">
        <v>35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U64" t="s">
        <v>35</v>
      </c>
      <c r="AV64">
        <v>8.4</v>
      </c>
      <c r="AW64">
        <v>9.1999999999999993</v>
      </c>
      <c r="AX64">
        <v>8.6</v>
      </c>
      <c r="AY64">
        <v>99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</row>
    <row r="65" spans="7:57" hidden="1" x14ac:dyDescent="0.2">
      <c r="G65" t="s">
        <v>36</v>
      </c>
      <c r="H65">
        <v>5.95</v>
      </c>
      <c r="I65">
        <v>6.5</v>
      </c>
      <c r="J65">
        <v>6.2</v>
      </c>
      <c r="K65">
        <v>6.75</v>
      </c>
      <c r="L65">
        <v>6.4</v>
      </c>
      <c r="M65">
        <v>7</v>
      </c>
      <c r="N65">
        <v>6.6</v>
      </c>
      <c r="O65">
        <v>7.2</v>
      </c>
      <c r="Q65" t="s">
        <v>36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</row>
    <row r="66" spans="7:57" hidden="1" x14ac:dyDescent="0.2">
      <c r="G66" t="s">
        <v>37</v>
      </c>
      <c r="H66">
        <v>5.7</v>
      </c>
      <c r="I66">
        <v>6.3</v>
      </c>
      <c r="J66">
        <v>5.95</v>
      </c>
      <c r="K66">
        <v>6.5</v>
      </c>
      <c r="L66">
        <v>6.15</v>
      </c>
      <c r="M66">
        <v>6.75</v>
      </c>
      <c r="N66">
        <v>6.35</v>
      </c>
      <c r="O66">
        <v>7</v>
      </c>
      <c r="Q66" t="s">
        <v>37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</row>
    <row r="67" spans="7:57" hidden="1" x14ac:dyDescent="0.2">
      <c r="G67" t="s">
        <v>80</v>
      </c>
      <c r="H67">
        <v>5.5</v>
      </c>
      <c r="I67">
        <v>6.05</v>
      </c>
      <c r="J67">
        <f t="shared" ref="J67:J74" si="3">0.2+H67</f>
        <v>5.7</v>
      </c>
      <c r="K67">
        <v>6.3</v>
      </c>
      <c r="L67">
        <v>5.95</v>
      </c>
      <c r="M67">
        <v>6.55</v>
      </c>
      <c r="N67">
        <v>6.15</v>
      </c>
      <c r="O67">
        <v>6.75</v>
      </c>
      <c r="Q67" t="s">
        <v>80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</row>
    <row r="68" spans="7:57" hidden="1" x14ac:dyDescent="0.2">
      <c r="G68" t="s">
        <v>38</v>
      </c>
      <c r="H68">
        <v>5.15</v>
      </c>
      <c r="I68">
        <v>5.7</v>
      </c>
      <c r="J68">
        <f t="shared" si="3"/>
        <v>5.3500000000000005</v>
      </c>
      <c r="K68">
        <v>5.9</v>
      </c>
      <c r="L68">
        <v>5.6</v>
      </c>
      <c r="M68">
        <v>6.15</v>
      </c>
      <c r="N68">
        <v>5.8</v>
      </c>
      <c r="O68">
        <v>6.4</v>
      </c>
      <c r="Q68" t="s">
        <v>38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</row>
    <row r="69" spans="7:57" hidden="1" x14ac:dyDescent="0.2">
      <c r="G69" t="s">
        <v>39</v>
      </c>
      <c r="H69">
        <v>4.8499999999999996</v>
      </c>
      <c r="I69">
        <v>5.4</v>
      </c>
      <c r="J69">
        <v>5.0999999999999996</v>
      </c>
      <c r="K69">
        <v>5.65</v>
      </c>
      <c r="L69">
        <v>5.3</v>
      </c>
      <c r="M69">
        <v>5.85</v>
      </c>
      <c r="N69">
        <v>5.5</v>
      </c>
      <c r="O69">
        <v>6.1</v>
      </c>
      <c r="Q69" t="s">
        <v>39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</row>
    <row r="70" spans="7:57" hidden="1" x14ac:dyDescent="0.2">
      <c r="G70" t="s">
        <v>162</v>
      </c>
      <c r="H70">
        <v>6.45</v>
      </c>
      <c r="I70">
        <v>6.8</v>
      </c>
      <c r="J70">
        <v>6.7</v>
      </c>
      <c r="K70">
        <v>7.05</v>
      </c>
      <c r="L70">
        <v>6.9</v>
      </c>
      <c r="M70">
        <v>7.3</v>
      </c>
      <c r="N70">
        <v>7.1</v>
      </c>
      <c r="O70">
        <v>7.5</v>
      </c>
      <c r="Q70" t="s">
        <v>162</v>
      </c>
      <c r="AA70" t="s">
        <v>162</v>
      </c>
      <c r="AB70">
        <v>7.35</v>
      </c>
      <c r="AC70">
        <v>7.8</v>
      </c>
      <c r="AD70">
        <v>7.85</v>
      </c>
      <c r="AE70">
        <v>8.3000000000000007</v>
      </c>
      <c r="AF70">
        <v>8</v>
      </c>
      <c r="AG70">
        <v>8.5</v>
      </c>
      <c r="AH70">
        <v>8.15</v>
      </c>
      <c r="AI70">
        <v>8.6999999999999993</v>
      </c>
      <c r="AK70" t="s">
        <v>162</v>
      </c>
      <c r="AU70" t="s">
        <v>162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162</v>
      </c>
    </row>
    <row r="71" spans="7:57" hidden="1" x14ac:dyDescent="0.2">
      <c r="G71" t="s">
        <v>40</v>
      </c>
      <c r="H71">
        <v>6.15</v>
      </c>
      <c r="I71">
        <v>6.5</v>
      </c>
      <c r="J71">
        <f t="shared" si="3"/>
        <v>6.3500000000000005</v>
      </c>
      <c r="K71">
        <v>6.75</v>
      </c>
      <c r="L71">
        <v>6.55</v>
      </c>
      <c r="M71">
        <v>7</v>
      </c>
      <c r="N71">
        <v>6.8</v>
      </c>
      <c r="O71">
        <v>7.25</v>
      </c>
      <c r="Q71" t="s">
        <v>40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</row>
    <row r="72" spans="7:57" hidden="1" x14ac:dyDescent="0.2">
      <c r="G72" t="s">
        <v>41</v>
      </c>
      <c r="H72">
        <v>5.9</v>
      </c>
      <c r="I72">
        <v>6.25</v>
      </c>
      <c r="J72">
        <f t="shared" si="3"/>
        <v>6.1000000000000005</v>
      </c>
      <c r="K72">
        <v>6.5</v>
      </c>
      <c r="L72">
        <v>6.3</v>
      </c>
      <c r="M72">
        <v>6.75</v>
      </c>
      <c r="N72">
        <v>6.5</v>
      </c>
      <c r="O72">
        <v>7</v>
      </c>
      <c r="Q72" t="s">
        <v>41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</row>
    <row r="73" spans="7:57" hidden="1" x14ac:dyDescent="0.2">
      <c r="G73" t="s">
        <v>42</v>
      </c>
      <c r="H73">
        <v>5.65</v>
      </c>
      <c r="I73">
        <v>6.05</v>
      </c>
      <c r="J73">
        <f t="shared" si="3"/>
        <v>5.8500000000000005</v>
      </c>
      <c r="K73">
        <v>6.3</v>
      </c>
      <c r="L73">
        <v>6.1</v>
      </c>
      <c r="M73">
        <v>6.55</v>
      </c>
      <c r="N73">
        <v>6.3</v>
      </c>
      <c r="O73">
        <v>6.75</v>
      </c>
      <c r="Q73" t="s">
        <v>42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</row>
    <row r="74" spans="7:57" hidden="1" x14ac:dyDescent="0.2">
      <c r="G74" t="s">
        <v>43</v>
      </c>
      <c r="H74">
        <v>5.45</v>
      </c>
      <c r="I74">
        <v>5.85</v>
      </c>
      <c r="J74">
        <f t="shared" si="3"/>
        <v>5.65</v>
      </c>
      <c r="K74">
        <v>6.1</v>
      </c>
      <c r="L74">
        <v>5.9</v>
      </c>
      <c r="M74">
        <v>6.35</v>
      </c>
      <c r="N74">
        <v>6.1</v>
      </c>
      <c r="O74">
        <v>6.55</v>
      </c>
      <c r="Q74" t="s">
        <v>43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</row>
    <row r="75" spans="7:57" hidden="1" x14ac:dyDescent="0.2">
      <c r="G75" t="s">
        <v>81</v>
      </c>
      <c r="H75">
        <v>5.25</v>
      </c>
      <c r="I75">
        <v>5.7</v>
      </c>
      <c r="J75">
        <v>5.5</v>
      </c>
      <c r="K75">
        <v>5.9</v>
      </c>
      <c r="L75">
        <v>5.7</v>
      </c>
      <c r="M75">
        <v>6.15</v>
      </c>
      <c r="N75">
        <v>5.9</v>
      </c>
      <c r="O75">
        <v>6.4</v>
      </c>
      <c r="Q75" t="s">
        <v>81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</row>
    <row r="76" spans="7:57" hidden="1" x14ac:dyDescent="0.2">
      <c r="G76" t="s">
        <v>44</v>
      </c>
      <c r="H76">
        <v>4.95</v>
      </c>
      <c r="I76">
        <v>5.15</v>
      </c>
      <c r="J76">
        <f t="shared" ref="J76" si="4">0.2+H76</f>
        <v>5.15</v>
      </c>
      <c r="K76">
        <v>5.65</v>
      </c>
      <c r="L76">
        <v>5.4</v>
      </c>
      <c r="M76">
        <v>5.9</v>
      </c>
      <c r="N76">
        <v>5.6</v>
      </c>
      <c r="O76">
        <v>6.1</v>
      </c>
      <c r="Q76" t="s">
        <v>44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</row>
    <row r="77" spans="7:57" hidden="1" x14ac:dyDescent="0.2">
      <c r="G77" t="s">
        <v>67</v>
      </c>
      <c r="H77">
        <v>4.7</v>
      </c>
      <c r="I77">
        <v>5.15</v>
      </c>
      <c r="J77">
        <v>4.95</v>
      </c>
      <c r="K77">
        <v>5.4</v>
      </c>
      <c r="L77">
        <v>5.15</v>
      </c>
      <c r="M77">
        <v>5.6</v>
      </c>
      <c r="N77">
        <v>5.35</v>
      </c>
      <c r="O77">
        <v>5.85</v>
      </c>
      <c r="Q77" t="s">
        <v>67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</row>
    <row r="78" spans="7:57" hidden="1" x14ac:dyDescent="0.2">
      <c r="G78" t="s">
        <v>163</v>
      </c>
      <c r="H78">
        <v>5.9</v>
      </c>
      <c r="I78">
        <v>6.1</v>
      </c>
      <c r="J78">
        <v>6.1</v>
      </c>
      <c r="K78">
        <v>6.35</v>
      </c>
      <c r="L78">
        <v>6.3</v>
      </c>
      <c r="M78">
        <v>6.6</v>
      </c>
      <c r="N78">
        <v>6.55</v>
      </c>
      <c r="O78">
        <v>6.8</v>
      </c>
      <c r="Q78" t="s">
        <v>163</v>
      </c>
      <c r="AA78" t="s">
        <v>163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163</v>
      </c>
      <c r="AU78" t="s">
        <v>163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8.9499999999999993</v>
      </c>
      <c r="BE78" t="s">
        <v>163</v>
      </c>
    </row>
    <row r="79" spans="7:57" hidden="1" x14ac:dyDescent="0.2">
      <c r="G79" t="s">
        <v>50</v>
      </c>
      <c r="H79">
        <v>5.65</v>
      </c>
      <c r="I79">
        <v>5.9</v>
      </c>
      <c r="J79">
        <f t="shared" ref="J79:J81" si="5">0.2+H79</f>
        <v>5.8500000000000005</v>
      </c>
      <c r="K79">
        <v>6.1</v>
      </c>
      <c r="L79">
        <v>6.1</v>
      </c>
      <c r="M79">
        <v>6.35</v>
      </c>
      <c r="N79">
        <v>6.3</v>
      </c>
      <c r="O79">
        <v>6.6</v>
      </c>
      <c r="Q79" t="s">
        <v>50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</row>
    <row r="80" spans="7:57" hidden="1" x14ac:dyDescent="0.2">
      <c r="G80" t="s">
        <v>76</v>
      </c>
      <c r="H80">
        <v>5.45</v>
      </c>
      <c r="I80">
        <v>5.65</v>
      </c>
      <c r="J80">
        <f t="shared" si="5"/>
        <v>5.65</v>
      </c>
      <c r="K80">
        <v>5.95</v>
      </c>
      <c r="L80">
        <v>5.9</v>
      </c>
      <c r="M80">
        <v>6.2</v>
      </c>
      <c r="N80">
        <v>6.1</v>
      </c>
      <c r="O80">
        <v>6.4</v>
      </c>
      <c r="Q80" t="s">
        <v>76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</row>
    <row r="81" spans="5:65" hidden="1" x14ac:dyDescent="0.2">
      <c r="G81" t="s">
        <v>77</v>
      </c>
      <c r="H81">
        <v>5.3</v>
      </c>
      <c r="I81">
        <v>5.5</v>
      </c>
      <c r="J81">
        <f t="shared" si="5"/>
        <v>5.5</v>
      </c>
      <c r="K81">
        <v>5.85</v>
      </c>
      <c r="L81">
        <v>5.75</v>
      </c>
      <c r="M81">
        <v>6</v>
      </c>
      <c r="N81">
        <v>5.9</v>
      </c>
      <c r="O81">
        <v>6.25</v>
      </c>
      <c r="Q81" t="s">
        <v>77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</row>
    <row r="82" spans="5:65" hidden="1" x14ac:dyDescent="0.2">
      <c r="G82" t="s">
        <v>46</v>
      </c>
      <c r="H82">
        <v>5.0999999999999996</v>
      </c>
      <c r="I82">
        <v>5.4</v>
      </c>
      <c r="J82">
        <v>5.35</v>
      </c>
      <c r="K82">
        <v>5.65</v>
      </c>
      <c r="L82">
        <v>5.55</v>
      </c>
      <c r="M82">
        <v>5.85</v>
      </c>
      <c r="N82">
        <v>5.75</v>
      </c>
      <c r="O82">
        <v>6.1</v>
      </c>
      <c r="Q82" t="s">
        <v>46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</row>
    <row r="83" spans="5:65" hidden="1" x14ac:dyDescent="0.2">
      <c r="G83" t="s">
        <v>82</v>
      </c>
      <c r="H83">
        <v>4.95</v>
      </c>
      <c r="I83">
        <v>5.25</v>
      </c>
      <c r="J83">
        <v>5.2</v>
      </c>
      <c r="K83">
        <v>5.5</v>
      </c>
      <c r="L83">
        <v>5.4</v>
      </c>
      <c r="M83">
        <v>5.75</v>
      </c>
      <c r="N83">
        <v>5.6</v>
      </c>
      <c r="O83">
        <v>5.95</v>
      </c>
      <c r="Q83" t="s">
        <v>82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</row>
    <row r="84" spans="5:65" hidden="1" x14ac:dyDescent="0.2">
      <c r="G84" t="s">
        <v>45</v>
      </c>
      <c r="H84">
        <v>4.75</v>
      </c>
      <c r="I84">
        <v>4.75</v>
      </c>
      <c r="J84">
        <v>4.95</v>
      </c>
      <c r="K84">
        <v>5.3</v>
      </c>
      <c r="L84">
        <v>5.15</v>
      </c>
      <c r="M84">
        <v>5.45</v>
      </c>
      <c r="N84">
        <v>5.35</v>
      </c>
      <c r="O84">
        <v>5.65</v>
      </c>
      <c r="Q84" t="s">
        <v>45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</row>
    <row r="85" spans="5:65" hidden="1" x14ac:dyDescent="0.2">
      <c r="G85" t="s">
        <v>68</v>
      </c>
      <c r="H85">
        <v>4.55</v>
      </c>
      <c r="I85">
        <v>4.55</v>
      </c>
      <c r="J85">
        <v>4.75</v>
      </c>
      <c r="K85">
        <v>4.8499999999999996</v>
      </c>
      <c r="L85">
        <v>4.95</v>
      </c>
      <c r="M85">
        <v>5</v>
      </c>
      <c r="N85">
        <v>5.15</v>
      </c>
      <c r="O85">
        <v>5.15</v>
      </c>
      <c r="Q85" t="s">
        <v>68</v>
      </c>
      <c r="AA85" t="s">
        <v>68</v>
      </c>
      <c r="AB85">
        <v>5.2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</row>
    <row r="86" spans="5:65" hidden="1" x14ac:dyDescent="0.2">
      <c r="G86" t="s">
        <v>71</v>
      </c>
      <c r="H86" s="236">
        <v>220</v>
      </c>
      <c r="I86" s="236"/>
      <c r="J86" s="236">
        <v>243</v>
      </c>
      <c r="K86" s="236"/>
      <c r="L86" s="236">
        <v>266</v>
      </c>
      <c r="M86" s="236"/>
      <c r="N86" s="236">
        <v>289</v>
      </c>
      <c r="O86" s="236"/>
      <c r="R86" s="236">
        <v>179</v>
      </c>
      <c r="S86" s="236"/>
      <c r="T86" s="236">
        <v>229</v>
      </c>
      <c r="U86" s="236"/>
      <c r="V86" s="236">
        <v>252</v>
      </c>
      <c r="W86" s="236"/>
      <c r="X86" s="236">
        <v>275</v>
      </c>
      <c r="Y86" s="236"/>
      <c r="AB86" s="236">
        <v>260</v>
      </c>
      <c r="AC86" s="236"/>
      <c r="AD86" s="236">
        <v>280</v>
      </c>
      <c r="AE86" s="236"/>
      <c r="AF86" s="236">
        <v>303</v>
      </c>
      <c r="AG86" s="236"/>
      <c r="AH86" s="236">
        <v>326</v>
      </c>
      <c r="AI86" s="236"/>
      <c r="AL86" s="236">
        <v>232</v>
      </c>
      <c r="AM86" s="236"/>
      <c r="AN86" s="236">
        <v>273</v>
      </c>
      <c r="AO86" s="236"/>
      <c r="AP86" s="236">
        <v>296</v>
      </c>
      <c r="AQ86" s="236"/>
      <c r="AR86" s="236">
        <v>319</v>
      </c>
      <c r="AS86" s="236"/>
      <c r="AV86" s="236">
        <v>315</v>
      </c>
      <c r="AW86" s="236"/>
      <c r="AX86" s="236">
        <v>338</v>
      </c>
      <c r="AY86" s="236"/>
      <c r="AZ86" s="236">
        <v>361</v>
      </c>
      <c r="BA86" s="236"/>
      <c r="BB86" s="236">
        <v>384</v>
      </c>
      <c r="BC86" s="236"/>
      <c r="BF86" s="236">
        <v>322</v>
      </c>
      <c r="BG86" s="236"/>
      <c r="BH86" s="236">
        <v>345</v>
      </c>
      <c r="BI86" s="236"/>
      <c r="BJ86" s="236">
        <v>368</v>
      </c>
      <c r="BK86" s="236"/>
      <c r="BL86" s="236">
        <v>391</v>
      </c>
      <c r="BM86" s="236"/>
    </row>
    <row r="87" spans="5:65" hidden="1" x14ac:dyDescent="0.2">
      <c r="G87" t="s">
        <v>72</v>
      </c>
      <c r="H87" s="236">
        <v>66</v>
      </c>
      <c r="I87" s="236"/>
      <c r="J87" s="236">
        <v>76</v>
      </c>
      <c r="K87" s="236"/>
      <c r="L87" s="236">
        <v>86</v>
      </c>
      <c r="M87" s="236"/>
      <c r="N87" s="236">
        <v>96</v>
      </c>
      <c r="O87" s="236"/>
      <c r="R87" s="236">
        <v>61</v>
      </c>
      <c r="S87" s="236"/>
      <c r="T87" s="236">
        <v>72.5</v>
      </c>
      <c r="U87" s="236"/>
      <c r="V87" s="236">
        <v>82.5</v>
      </c>
      <c r="W87" s="236"/>
      <c r="X87" s="236">
        <v>92.5</v>
      </c>
      <c r="Y87" s="236"/>
      <c r="AB87" s="236">
        <v>79</v>
      </c>
      <c r="AC87" s="236"/>
      <c r="AD87" s="236">
        <v>81</v>
      </c>
      <c r="AE87" s="236"/>
      <c r="AF87" s="236">
        <v>91</v>
      </c>
      <c r="AG87" s="236"/>
      <c r="AH87" s="236">
        <v>101</v>
      </c>
      <c r="AI87" s="236"/>
      <c r="AL87" s="236">
        <v>74</v>
      </c>
      <c r="AM87" s="236"/>
      <c r="AN87" s="236">
        <v>78.5</v>
      </c>
      <c r="AO87" s="236"/>
      <c r="AP87" s="236">
        <v>86</v>
      </c>
      <c r="AQ87" s="236"/>
      <c r="AR87" s="236">
        <v>96</v>
      </c>
      <c r="AS87" s="236"/>
      <c r="AV87" s="236">
        <v>96.5</v>
      </c>
      <c r="AW87" s="236"/>
      <c r="AX87" s="236">
        <v>106.5</v>
      </c>
      <c r="AY87" s="236"/>
      <c r="AZ87" s="236">
        <v>116.5</v>
      </c>
      <c r="BA87" s="236"/>
      <c r="BB87" s="236">
        <v>126.5</v>
      </c>
      <c r="BC87" s="236"/>
      <c r="BF87" s="236">
        <v>93</v>
      </c>
      <c r="BG87" s="236"/>
      <c r="BH87" s="236">
        <v>103</v>
      </c>
      <c r="BI87" s="236"/>
      <c r="BJ87" s="236">
        <v>113</v>
      </c>
      <c r="BK87" s="236"/>
      <c r="BL87" s="236">
        <v>123</v>
      </c>
      <c r="BM87" s="236"/>
    </row>
    <row r="88" spans="5:65" hidden="1" x14ac:dyDescent="0.2">
      <c r="E88" t="s">
        <v>49</v>
      </c>
      <c r="G88" t="str">
        <f>+DIM!$AK$20&amp;"+"&amp;DIM!$S$14</f>
        <v>251+250</v>
      </c>
      <c r="H88" s="100">
        <f>+VLOOKUP($G$88,$G$62:$O$85,2,FALSE)</f>
        <v>5.45</v>
      </c>
      <c r="I88" s="100">
        <f>+VLOOKUP($G$88,$G$62:$O$85,3,FALSE)</f>
        <v>5.85</v>
      </c>
      <c r="J88" s="100">
        <f>+VLOOKUP($G$88,$G$62:$O$85,4,FALSE)</f>
        <v>5.65</v>
      </c>
      <c r="K88" s="100">
        <f>+VLOOKUP($G$88,$G$62:$O$85,5,FALSE)</f>
        <v>6.1</v>
      </c>
      <c r="L88" s="100">
        <f>+VLOOKUP($G$88,$G$62:$O$85,6,FALSE)</f>
        <v>5.9</v>
      </c>
      <c r="M88" s="100">
        <f>+VLOOKUP($G$88,$G$62:$O$85,7,FALSE)</f>
        <v>6.35</v>
      </c>
      <c r="N88" s="100">
        <f>+VLOOKUP($G$88,$G$62:$O$85,8,FALSE)</f>
        <v>6.1</v>
      </c>
      <c r="O88" s="100">
        <f>+VLOOKUP($G$88,$G$62:$O$85,9,FALSE)</f>
        <v>6.55</v>
      </c>
      <c r="Q88" t="str">
        <f>+DIM!$AK$20&amp;"+"&amp;DIM!$S$14</f>
        <v>251+250</v>
      </c>
      <c r="R88" s="100">
        <f>+VLOOKUP($Q$88,$Q$62:$Y$85,2,FALSE)</f>
        <v>0</v>
      </c>
      <c r="S88" s="100">
        <f>+VLOOKUP($Q$88,$Q$62:$Y$85,3,FALSE)</f>
        <v>0</v>
      </c>
      <c r="T88" s="100">
        <f>+VLOOKUP($Q$88,$Q$62:$Y$85,4,FALSE)</f>
        <v>0</v>
      </c>
      <c r="U88" s="100">
        <f>+VLOOKUP($Q$88,$Q$62:$Y$85,5,FALSE)</f>
        <v>0</v>
      </c>
      <c r="V88" s="100">
        <f>+VLOOKUP($Q$88,$Q$62:$Y$85,6,FALSE)</f>
        <v>0</v>
      </c>
      <c r="W88" s="100">
        <f>+VLOOKUP($Q$88,$Q$62:$Y$85,7,FALSE)</f>
        <v>0</v>
      </c>
      <c r="X88" s="100">
        <f>+VLOOKUP($Q$88,$Q$62:$Y$85,8,FALSE)</f>
        <v>0</v>
      </c>
      <c r="Y88" s="100">
        <f>+VLOOKUP($Q$88,$Q$62:$Y$85,9,FALSE)</f>
        <v>0</v>
      </c>
      <c r="AA88" t="str">
        <f>+DIM!$AK$20&amp;"+"&amp;DIM!$S$14</f>
        <v>251+250</v>
      </c>
      <c r="AB88" s="100">
        <f>+VLOOKUP($AA$88,$AA$62:$AI$87,2,FALSE)</f>
        <v>6.25</v>
      </c>
      <c r="AC88" s="100">
        <f>+VLOOKUP($AA$88,$AA$62:$AI$87,3,FALSE)</f>
        <v>6.75</v>
      </c>
      <c r="AD88" s="100">
        <f>+VLOOKUP($AA$88,$AA$62:$AI$87,4,FALSE)</f>
        <v>6.7</v>
      </c>
      <c r="AE88" s="100">
        <f>+VLOOKUP($AA$88,$AA$62:$AI$87,5,FALSE)</f>
        <v>7.2</v>
      </c>
      <c r="AF88" s="100">
        <f>+VLOOKUP($AA$88,$AA$62:$AI$87,6,FALSE)</f>
        <v>6.8</v>
      </c>
      <c r="AG88" s="100">
        <f>+VLOOKUP($AA$88,$AA$62:$AI$87,7,FALSE)</f>
        <v>7.4</v>
      </c>
      <c r="AH88" s="100">
        <f>+VLOOKUP($AA$88,$AA$62:$AI$87,8,FALSE)</f>
        <v>7</v>
      </c>
      <c r="AI88" s="100">
        <f>+VLOOKUP($AA$88,$AA$62:$AI$87,9,FALSE)</f>
        <v>7.6</v>
      </c>
      <c r="AK88" t="str">
        <f>+DIM!$AK$20&amp;"+"&amp;DIM!$S$14</f>
        <v>251+250</v>
      </c>
      <c r="AL88" s="100">
        <f>+VLOOKUP($AK$88,$AK$62:$AS$87,2,FALSE)</f>
        <v>0</v>
      </c>
      <c r="AM88" s="100">
        <f>+VLOOKUP($AK$88,$AK$62:$AS$87,3,FALSE)</f>
        <v>0</v>
      </c>
      <c r="AN88" s="100">
        <f>+VLOOKUP($AK$88,$AK$62:$AS$87,4,FALSE)</f>
        <v>0</v>
      </c>
      <c r="AO88" s="100">
        <f>+VLOOKUP($AK$88,$AK$62:$AS$87,5,FALSE)</f>
        <v>0</v>
      </c>
      <c r="AP88" s="100">
        <f>+VLOOKUP($AK$88,$AK$62:$AS$87,6,FALSE)</f>
        <v>0</v>
      </c>
      <c r="AQ88" s="100">
        <f>+VLOOKUP($AK$88,$AK$62:$AS$87,7,FALSE)</f>
        <v>0</v>
      </c>
      <c r="AR88" s="100">
        <f>+VLOOKUP($AK$88,$AK$62:$AS$87,8,FALSE)</f>
        <v>0</v>
      </c>
      <c r="AS88" s="100">
        <f>+VLOOKUP($AK$88,$AK$62:$AS$87,9,FALSE)</f>
        <v>0</v>
      </c>
      <c r="AU88" t="str">
        <f>+DIM!$AK$20&amp;"+"&amp;DIM!$S$14</f>
        <v>251+250</v>
      </c>
      <c r="AV88" s="100">
        <f>+VLOOKUP($AU$42,$AU$62:$BC$86,2,FALSE)</f>
        <v>7.45</v>
      </c>
      <c r="AW88" s="100">
        <f>+VLOOKUP($AU$42,$AU$62:$BC$86,3,FALSE)</f>
        <v>8.1</v>
      </c>
      <c r="AX88" s="100">
        <f>+VLOOKUP($AU$42,$AU$62:$BC$86,4,FALSE)</f>
        <v>7.65</v>
      </c>
      <c r="AY88" s="100">
        <f>+VLOOKUP($AU$42,$AU$62:$BC$86,5,FALSE)</f>
        <v>8.3000000000000007</v>
      </c>
      <c r="AZ88" s="100">
        <f>+VLOOKUP($AU$42,$AU$62:$BC$86,6,FALSE)</f>
        <v>7.85</v>
      </c>
      <c r="BA88" s="100">
        <f>+VLOOKUP($AU$42,$AU$62:$BC$86,7,FALSE)</f>
        <v>8.5</v>
      </c>
      <c r="BB88" s="100">
        <f>+VLOOKUP($AU$42,$AU$62:$BC$86,8,FALSE)</f>
        <v>8.0500000000000007</v>
      </c>
      <c r="BC88" s="100">
        <f>+VLOOKUP($AU$42,$AU$62:$BC$86,9,FALSE)</f>
        <v>8.6999999999999993</v>
      </c>
      <c r="BE88" t="str">
        <f>+DIM!$AK$20&amp;"+"&amp;DIM!$S$14</f>
        <v>251+250</v>
      </c>
      <c r="BF88" s="100">
        <f>+VLOOKUP($BE$88,$BE$62:$BM$85,2,FALSE)</f>
        <v>0</v>
      </c>
      <c r="BG88" s="100">
        <f>+VLOOKUP($BE$88,$BE$62:$BM$85,3,FALSE)</f>
        <v>0</v>
      </c>
      <c r="BH88" s="100">
        <f>+VLOOKUP($BE$88,$BE$62:$BM$85,4,FALSE)</f>
        <v>0</v>
      </c>
      <c r="BI88" s="100">
        <f>+VLOOKUP($BE$88,$BE$62:$BM$85,5,FALSE)</f>
        <v>0</v>
      </c>
      <c r="BJ88" s="100">
        <f>+VLOOKUP($BE$88,$BE$62:$BM$85,6,FALSE)</f>
        <v>0</v>
      </c>
      <c r="BK88" s="100">
        <f>+VLOOKUP($BE$88,$BE$62:$BM$85,7,FALSE)</f>
        <v>0</v>
      </c>
      <c r="BL88" s="100">
        <f>+VLOOKUP($BE$88,$BE$62:$BM$85,8,FALSE)</f>
        <v>0</v>
      </c>
      <c r="BM88" s="100">
        <f>+VLOOKUP($BE$88,$BE$62:$BM$85,9,FALSE)</f>
        <v>0</v>
      </c>
    </row>
    <row r="89" spans="5:65" hidden="1" x14ac:dyDescent="0.2">
      <c r="F89" t="s">
        <v>47</v>
      </c>
      <c r="G89">
        <f>+DIM!AD62</f>
        <v>0</v>
      </c>
      <c r="H89" s="235">
        <f>+IF(DIM!$AD$15=$H$61,H88,I88)</f>
        <v>5.85</v>
      </c>
      <c r="I89" s="235"/>
      <c r="J89" s="235">
        <f>+IF(DIM!$AD$15=$H$61,J88,K88)</f>
        <v>6.1</v>
      </c>
      <c r="K89" s="235"/>
      <c r="L89" s="235">
        <f>+IF(DIM!$AD$15=$H$61,L88,M88)</f>
        <v>6.35</v>
      </c>
      <c r="M89" s="235"/>
      <c r="N89" s="235">
        <f>+IF(DIM!$AD$15=$H$61,N88,O88)</f>
        <v>6.55</v>
      </c>
      <c r="O89" s="235"/>
      <c r="Q89" t="str">
        <f>+DIM!AD15</f>
        <v>1C</v>
      </c>
      <c r="R89" s="235">
        <f>+IF(DIM!$AD$15=$H$61,R88,S88)</f>
        <v>0</v>
      </c>
      <c r="S89" s="235"/>
      <c r="T89" s="233">
        <f>+IF(DIM!$AD$15=ebsvs!$H$15,ebsvs!T88,ebsvs!U88)</f>
        <v>6.05</v>
      </c>
      <c r="U89" s="234"/>
      <c r="V89" s="233">
        <f>+IF(DIM!$AD$15=ebsvs!$H$15,ebsvs!V88,ebsvs!W88)</f>
        <v>6.05</v>
      </c>
      <c r="W89" s="234"/>
      <c r="X89" s="233">
        <f>+IF(DIM!$AD$15=ebsvs!$H$15,ebsvs!X88,ebsvs!Y88)</f>
        <v>6</v>
      </c>
      <c r="Y89" s="234"/>
      <c r="AA89" t="str">
        <f>+DIM!AD15</f>
        <v>1C</v>
      </c>
      <c r="AB89" s="235">
        <f>+IF(DIM!$AD$15=$AB$61,AB88,AC88)</f>
        <v>6.75</v>
      </c>
      <c r="AC89" s="235"/>
      <c r="AD89" s="235">
        <f>+IF(DIM!$AD$15=$AB$61,AD88,AE88)</f>
        <v>7.2</v>
      </c>
      <c r="AE89" s="235"/>
      <c r="AF89" s="235">
        <f>+IF(DIM!$AD$15=$AB$61,AF88,AG88)</f>
        <v>7.4</v>
      </c>
      <c r="AG89" s="235"/>
      <c r="AH89" s="235">
        <f>+IF(DIM!$AD$15=$AB$61,AH88,AI88)</f>
        <v>7.6</v>
      </c>
      <c r="AI89" s="235"/>
      <c r="AK89" t="str">
        <f>+DIM!AD15</f>
        <v>1C</v>
      </c>
      <c r="AL89" s="233">
        <f>+IF(DIM!$AD$15=$AL$61,ebsvs!AL88,ebsvs!AM88)</f>
        <v>6.3</v>
      </c>
      <c r="AM89" s="234"/>
      <c r="AN89" s="233">
        <f>+IF(DIM!$AD$15=$AL$61,ebsvs!AN88,ebsvs!AO88)</f>
        <v>7</v>
      </c>
      <c r="AO89" s="234"/>
      <c r="AP89" s="233">
        <f>+IF(DIM!$AD$15=$AL$61,ebsvs!AP88,ebsvs!AQ88)</f>
        <v>7.1</v>
      </c>
      <c r="AQ89" s="234"/>
      <c r="AR89" s="233">
        <f>+IF(DIM!$AD$15=$AL$61,ebsvs!AR88,ebsvs!AS88)</f>
        <v>7.1</v>
      </c>
      <c r="AS89" s="234"/>
      <c r="AU89" t="str">
        <f>+AK89</f>
        <v>1C</v>
      </c>
      <c r="AV89" s="235">
        <f>+IF(DIM!$AD$15=$AV$61,AV88,AW88)</f>
        <v>8.1</v>
      </c>
      <c r="AW89" s="235"/>
      <c r="AX89" s="235">
        <f>+IF(DIM!$AD$15=$AV$61,AX88,AY88)</f>
        <v>8.3000000000000007</v>
      </c>
      <c r="AY89" s="235"/>
      <c r="AZ89" s="235">
        <f>+IF(DIM!$AD$15=$AV$61,AZ88,BA88)</f>
        <v>8.5</v>
      </c>
      <c r="BA89" s="235"/>
      <c r="BB89" s="235">
        <f>+IF(DIM!$AD$15=$AV$61,BB88,BC88)</f>
        <v>8.6999999999999993</v>
      </c>
      <c r="BC89" s="235"/>
      <c r="BE89" t="str">
        <f>+AU89</f>
        <v>1C</v>
      </c>
      <c r="BF89" s="233">
        <f>+IF(DIM!$AD$15=ebsvs!$H$15,ebsvs!BF88,ebsvs!BG88)</f>
        <v>7.3</v>
      </c>
      <c r="BG89" s="234"/>
      <c r="BH89" s="233">
        <f>+IF(DIM!$AD$15=ebsvs!$H$15,ebsvs!BH88,ebsvs!BI88)</f>
        <v>7.25</v>
      </c>
      <c r="BI89" s="234"/>
      <c r="BJ89" s="233">
        <f>+IF(DIM!$AD$15=ebsvs!$H$15,ebsvs!BJ88,ebsvs!BK88)</f>
        <v>7.1</v>
      </c>
      <c r="BK89" s="234"/>
      <c r="BL89" s="233">
        <f>+IF(DIM!$AD$15=ebsvs!$H$15,ebsvs!BL88,ebsvs!BM88)</f>
        <v>6.9</v>
      </c>
      <c r="BM89" s="234"/>
    </row>
    <row r="90" spans="5:65" hidden="1" x14ac:dyDescent="0.2">
      <c r="F90" t="s">
        <v>48</v>
      </c>
      <c r="G90" s="100">
        <f>+DIM!S32</f>
        <v>5</v>
      </c>
      <c r="K90" s="102">
        <f>+HLOOKUP(G90,H60:O89,30,FALSE)</f>
        <v>5.85</v>
      </c>
      <c r="Q90" s="100">
        <f>+DIM!S32</f>
        <v>5</v>
      </c>
      <c r="U90" s="102">
        <f>+HLOOKUP(Q90,R60:Y89,30,FALSE)</f>
        <v>0</v>
      </c>
      <c r="AA90" s="100">
        <f>+DIM!S32</f>
        <v>5</v>
      </c>
      <c r="AE90" s="102">
        <f>+HLOOKUP(AA90,AB60:AI89,30,FALSE)</f>
        <v>6.75</v>
      </c>
      <c r="AK90" s="100">
        <f>+DIM!S32</f>
        <v>5</v>
      </c>
      <c r="AO90" s="102">
        <f>+HLOOKUP(AK90,AL60:AS89,30,FALSE)</f>
        <v>6.3</v>
      </c>
      <c r="AU90" s="100">
        <f>+AK90</f>
        <v>5</v>
      </c>
      <c r="AY90" s="102">
        <f>+HLOOKUP(AU90,AV60:BC89,30,FALSE)</f>
        <v>8.1</v>
      </c>
      <c r="BE90" s="101">
        <f>+AU90</f>
        <v>5</v>
      </c>
      <c r="BI90" s="102">
        <f>+HLOOKUP(BE90,BF60:BM89,30,FALSE)</f>
        <v>7.3</v>
      </c>
    </row>
    <row r="91" spans="5:65" hidden="1" x14ac:dyDescent="0.2">
      <c r="E91">
        <f>+DIM!Q32</f>
        <v>15</v>
      </c>
      <c r="F91" t="s">
        <v>65</v>
      </c>
      <c r="K91" s="103" t="str">
        <f>+K56&amp;"+"&amp;G90&amp;" "&amp;L56</f>
        <v>12+5 JUM</v>
      </c>
      <c r="U91" s="103" t="str">
        <f>+U56&amp;"+"&amp;Q90&amp;" "&amp;V56</f>
        <v>12+5 JUM</v>
      </c>
      <c r="AE91" s="103" t="str">
        <f>+AE56&amp;"+"&amp;AA90&amp;" "&amp;AF56</f>
        <v>15+5 JUM</v>
      </c>
      <c r="AO91" s="103" t="str">
        <f>+AO56&amp;"+"&amp;AK90&amp;" "&amp;AP56</f>
        <v>15+5 JUM</v>
      </c>
      <c r="AY91" s="103" t="str">
        <f>+AY56&amp;"+"&amp;AU90&amp;" "&amp;AZ56</f>
        <v>20+5 JUM</v>
      </c>
      <c r="BI91" s="103" t="str">
        <f>+BI56&amp;"+"&amp;BE90&amp;" "&amp;BJ56</f>
        <v>20+5 JUM</v>
      </c>
    </row>
    <row r="92" spans="5:65" hidden="1" x14ac:dyDescent="0.2">
      <c r="F92" t="s">
        <v>66</v>
      </c>
      <c r="G92">
        <f>+DIM!S66</f>
        <v>0</v>
      </c>
      <c r="K92" s="98">
        <f>+HLOOKUP(G90,H60:O86,27,FALSE)</f>
        <v>220</v>
      </c>
      <c r="U92" s="98">
        <f>+HLOOKUP(Q90,R60:Y86,27,FALSE)</f>
        <v>179</v>
      </c>
      <c r="AE92" s="98">
        <f>+HLOOKUP(AA90,AB60:AI86,27,FALSE)</f>
        <v>260</v>
      </c>
      <c r="AO92" s="98">
        <f>+HLOOKUP(AK90,AL60:AS86,27,FALSE)</f>
        <v>232</v>
      </c>
      <c r="AY92" s="98">
        <f>+HLOOKUP(AU90,AV60:BC86,27,FALSE)</f>
        <v>315</v>
      </c>
      <c r="BI92" s="98">
        <f>+HLOOKUP(BE90,BF60:BM86,27,FALSE)</f>
        <v>322</v>
      </c>
    </row>
    <row r="93" spans="5:65" hidden="1" x14ac:dyDescent="0.2">
      <c r="F93">
        <v>12</v>
      </c>
      <c r="G93">
        <f>+K90</f>
        <v>5.85</v>
      </c>
      <c r="H93">
        <f>+K92</f>
        <v>220</v>
      </c>
      <c r="I93">
        <f>+K93</f>
        <v>66</v>
      </c>
      <c r="J93">
        <f>+K94</f>
        <v>25.78</v>
      </c>
      <c r="K93" s="98">
        <f>+HLOOKUP(G90,H60:O87,28,FALSE)</f>
        <v>66</v>
      </c>
      <c r="U93" s="98">
        <f>+HLOOKUP(Q90,R60:Y87,28,FALSE)</f>
        <v>61</v>
      </c>
      <c r="AE93" s="98">
        <f>+HLOOKUP(AA90,AB60:AI87,28,FALSE)</f>
        <v>79</v>
      </c>
      <c r="AO93" s="98">
        <f>+HLOOKUP(AK90,AL60:AS87,28,FALSE)</f>
        <v>74</v>
      </c>
      <c r="AY93" s="98">
        <f>+HLOOKUP(AU90,AV60:BC87,28,FALSE)</f>
        <v>96.5</v>
      </c>
      <c r="BI93" s="98">
        <f>+HLOOKUP(BE90,BF60:BM87,28,FALSE)</f>
        <v>93</v>
      </c>
    </row>
    <row r="94" spans="5:65" hidden="1" x14ac:dyDescent="0.2">
      <c r="F94">
        <v>15</v>
      </c>
      <c r="G94">
        <f>+AE90</f>
        <v>6.75</v>
      </c>
      <c r="H94">
        <f>+AE92</f>
        <v>260</v>
      </c>
      <c r="I94">
        <f>+AE93</f>
        <v>79</v>
      </c>
      <c r="J94">
        <f>+AE94</f>
        <v>30.76</v>
      </c>
      <c r="K94" s="98">
        <f>+HLOOKUP(K91,H101:O103,3,FALSE)</f>
        <v>25.78</v>
      </c>
      <c r="U94" s="98">
        <f>+HLOOKUP(U91,R101:Y103,3,FALSE)</f>
        <v>25.78</v>
      </c>
      <c r="AE94" s="98">
        <f>+HLOOKUP(AE91,AB101:AI103,3,FALSE)</f>
        <v>30.76</v>
      </c>
      <c r="AO94" s="98">
        <f>+HLOOKUP(AO91,AL101:AS103,3,FALSE)</f>
        <v>30.76</v>
      </c>
      <c r="AY94" s="98">
        <f>+HLOOKUP(AY91,AV101:BC103,3,FALSE)</f>
        <v>34.700000000000003</v>
      </c>
      <c r="BI94" s="98">
        <f>+HLOOKUP(BI91,BF101:BM103,3,FALSE)</f>
        <v>34.700000000000003</v>
      </c>
    </row>
    <row r="95" spans="5:65" ht="19.5" hidden="1" x14ac:dyDescent="0.35">
      <c r="F95">
        <v>20</v>
      </c>
      <c r="G95">
        <f>+AY90</f>
        <v>8.1</v>
      </c>
      <c r="H95">
        <f>+AY92</f>
        <v>315</v>
      </c>
      <c r="I95">
        <f>+AY93</f>
        <v>96.5</v>
      </c>
      <c r="J95">
        <f>+AY94</f>
        <v>34.700000000000003</v>
      </c>
      <c r="K95" s="97">
        <v>12</v>
      </c>
      <c r="L95" s="97" t="s">
        <v>87</v>
      </c>
      <c r="Q95" s="100">
        <v>6.3</v>
      </c>
      <c r="U95" s="97">
        <v>12</v>
      </c>
      <c r="V95" s="97" t="s">
        <v>87</v>
      </c>
      <c r="AE95" s="97">
        <v>15</v>
      </c>
      <c r="AF95" s="97" t="s">
        <v>87</v>
      </c>
      <c r="AO95" s="97">
        <v>15</v>
      </c>
      <c r="AP95" s="97" t="s">
        <v>87</v>
      </c>
      <c r="AY95" s="97">
        <v>20</v>
      </c>
      <c r="AZ95" s="97" t="s">
        <v>87</v>
      </c>
      <c r="BI95" s="97">
        <v>20</v>
      </c>
      <c r="BJ95" s="97" t="s">
        <v>87</v>
      </c>
    </row>
    <row r="96" spans="5:65" hidden="1" x14ac:dyDescent="0.2">
      <c r="E96" s="98" t="s">
        <v>301</v>
      </c>
      <c r="F96" t="s">
        <v>64</v>
      </c>
      <c r="G96">
        <f>IF($E$91&gt;20,"--",+VLOOKUP(DIM!Q32,F93:I95,2,FALSE))</f>
        <v>6.75</v>
      </c>
      <c r="K96" s="98" t="s">
        <v>78</v>
      </c>
      <c r="U96" s="98" t="s">
        <v>83</v>
      </c>
      <c r="AE96" s="98" t="s">
        <v>84</v>
      </c>
      <c r="AO96" s="98" t="s">
        <v>79</v>
      </c>
      <c r="AY96" s="98" t="s">
        <v>84</v>
      </c>
      <c r="BI96" s="98" t="s">
        <v>79</v>
      </c>
    </row>
    <row r="97" spans="5:65" hidden="1" x14ac:dyDescent="0.2">
      <c r="E97" s="98" t="s">
        <v>129</v>
      </c>
      <c r="F97" t="s">
        <v>75</v>
      </c>
      <c r="G97">
        <f>IF($E$91&gt;20,0,+VLOOKUP(DIM!Q32,F93:I95,3,FALSE))</f>
        <v>260</v>
      </c>
      <c r="P97" s="100"/>
    </row>
    <row r="98" spans="5:65" hidden="1" x14ac:dyDescent="0.2">
      <c r="F98" t="s">
        <v>72</v>
      </c>
      <c r="G98">
        <f>IF($E$91&gt;20,0,+VLOOKUP(DIM!Q32,F93:I95,4,FALSE))</f>
        <v>79</v>
      </c>
    </row>
    <row r="99" spans="5:65" hidden="1" x14ac:dyDescent="0.2">
      <c r="F99" t="s">
        <v>274</v>
      </c>
      <c r="G99">
        <f>IF($E$91&gt;20,0,+VLOOKUP(DIM!Q32,F93:J95,5,FALSE))</f>
        <v>30.76</v>
      </c>
    </row>
    <row r="100" spans="5:65" hidden="1" x14ac:dyDescent="0.2"/>
    <row r="101" spans="5:65" hidden="1" x14ac:dyDescent="0.2">
      <c r="G101" s="98" t="s">
        <v>129</v>
      </c>
      <c r="H101" s="236" t="s">
        <v>302</v>
      </c>
      <c r="I101" s="236"/>
      <c r="J101" s="236" t="s">
        <v>303</v>
      </c>
      <c r="K101" s="236"/>
      <c r="L101" s="236" t="s">
        <v>304</v>
      </c>
      <c r="M101" s="236"/>
      <c r="N101" s="236" t="s">
        <v>305</v>
      </c>
      <c r="O101" s="236"/>
      <c r="Q101" t="s">
        <v>129</v>
      </c>
      <c r="R101" s="236" t="s">
        <v>302</v>
      </c>
      <c r="S101" s="236"/>
      <c r="T101" s="236" t="s">
        <v>303</v>
      </c>
      <c r="U101" s="236"/>
      <c r="V101" s="236" t="s">
        <v>304</v>
      </c>
      <c r="W101" s="236"/>
      <c r="X101" s="236" t="s">
        <v>305</v>
      </c>
      <c r="Y101" s="236"/>
      <c r="AA101" s="98" t="s">
        <v>129</v>
      </c>
      <c r="AB101" s="236" t="s">
        <v>306</v>
      </c>
      <c r="AC101" s="236"/>
      <c r="AD101" s="236" t="s">
        <v>307</v>
      </c>
      <c r="AE101" s="236"/>
      <c r="AF101" s="236" t="s">
        <v>308</v>
      </c>
      <c r="AG101" s="236"/>
      <c r="AH101" s="236" t="s">
        <v>309</v>
      </c>
      <c r="AI101" s="236"/>
      <c r="AK101" t="s">
        <v>129</v>
      </c>
      <c r="AL101" s="236" t="s">
        <v>306</v>
      </c>
      <c r="AM101" s="236"/>
      <c r="AN101" s="236" t="s">
        <v>307</v>
      </c>
      <c r="AO101" s="236"/>
      <c r="AP101" s="236" t="s">
        <v>308</v>
      </c>
      <c r="AQ101" s="236"/>
      <c r="AR101" s="236" t="s">
        <v>309</v>
      </c>
      <c r="AS101" s="236"/>
      <c r="AU101" t="s">
        <v>129</v>
      </c>
      <c r="AV101" s="236" t="s">
        <v>310</v>
      </c>
      <c r="AW101" s="236"/>
      <c r="AX101" s="236" t="s">
        <v>311</v>
      </c>
      <c r="AY101" s="236"/>
      <c r="AZ101" s="236" t="s">
        <v>312</v>
      </c>
      <c r="BA101" s="236"/>
      <c r="BB101" s="236" t="s">
        <v>313</v>
      </c>
      <c r="BC101" s="236"/>
      <c r="BE101" t="s">
        <v>129</v>
      </c>
      <c r="BF101" s="236" t="s">
        <v>310</v>
      </c>
      <c r="BG101" s="236"/>
      <c r="BH101" s="236" t="s">
        <v>311</v>
      </c>
      <c r="BI101" s="236"/>
      <c r="BJ101" s="236" t="s">
        <v>312</v>
      </c>
      <c r="BK101" s="236"/>
      <c r="BL101" s="236" t="s">
        <v>313</v>
      </c>
      <c r="BM101" s="236"/>
    </row>
    <row r="102" spans="5:65" hidden="1" x14ac:dyDescent="0.2">
      <c r="F102" s="100">
        <f>+DIM!S10-0.01</f>
        <v>4.99</v>
      </c>
      <c r="H102" s="236">
        <f>+IF(H89&gt;$F$102,1,0)</f>
        <v>1</v>
      </c>
      <c r="I102" s="236"/>
      <c r="J102" s="236">
        <f t="shared" ref="J102" si="6">+IF(J89&gt;$F$102,1,0)</f>
        <v>1</v>
      </c>
      <c r="K102" s="236"/>
      <c r="L102" s="236">
        <f t="shared" ref="L102" si="7">+IF(L89&gt;$F$102,1,0)</f>
        <v>1</v>
      </c>
      <c r="M102" s="236"/>
      <c r="N102" s="236">
        <f t="shared" ref="N102" si="8">+IF(N89&gt;$F$102,1,0)</f>
        <v>1</v>
      </c>
      <c r="O102" s="236"/>
      <c r="R102" s="236">
        <f t="shared" ref="R102:X102" si="9">+IF(R89&gt;$F$102,1,0)</f>
        <v>0</v>
      </c>
      <c r="S102" s="236"/>
      <c r="T102" s="236">
        <f t="shared" si="9"/>
        <v>1</v>
      </c>
      <c r="U102" s="236"/>
      <c r="V102" s="236">
        <f t="shared" si="9"/>
        <v>1</v>
      </c>
      <c r="W102" s="236"/>
      <c r="X102" s="236">
        <f t="shared" si="9"/>
        <v>1</v>
      </c>
      <c r="Y102" s="236"/>
      <c r="AB102" s="236">
        <f t="shared" ref="AB102:AH102" si="10">+IF(AB89&gt;$F$102,1,0)</f>
        <v>1</v>
      </c>
      <c r="AC102" s="236"/>
      <c r="AD102" s="236">
        <f t="shared" si="10"/>
        <v>1</v>
      </c>
      <c r="AE102" s="236"/>
      <c r="AF102" s="236">
        <f t="shared" si="10"/>
        <v>1</v>
      </c>
      <c r="AG102" s="236"/>
      <c r="AH102" s="236">
        <f t="shared" si="10"/>
        <v>1</v>
      </c>
      <c r="AI102" s="236"/>
      <c r="AL102" s="236">
        <f t="shared" ref="AL102:AR102" si="11">+IF(AL89&gt;$F$102,1,0)</f>
        <v>1</v>
      </c>
      <c r="AM102" s="236"/>
      <c r="AN102" s="236">
        <f t="shared" si="11"/>
        <v>1</v>
      </c>
      <c r="AO102" s="236"/>
      <c r="AP102" s="236">
        <f t="shared" si="11"/>
        <v>1</v>
      </c>
      <c r="AQ102" s="236"/>
      <c r="AR102" s="236">
        <f t="shared" si="11"/>
        <v>1</v>
      </c>
      <c r="AS102" s="236"/>
      <c r="AV102" s="236">
        <f t="shared" ref="AV102:BB102" si="12">+IF(AV89&gt;$F$102,1,0)</f>
        <v>1</v>
      </c>
      <c r="AW102" s="236"/>
      <c r="AX102" s="236">
        <f t="shared" si="12"/>
        <v>1</v>
      </c>
      <c r="AY102" s="236"/>
      <c r="AZ102" s="236">
        <f t="shared" si="12"/>
        <v>1</v>
      </c>
      <c r="BA102" s="236"/>
      <c r="BB102" s="236">
        <f t="shared" si="12"/>
        <v>1</v>
      </c>
      <c r="BC102" s="236"/>
      <c r="BF102" s="236">
        <f t="shared" ref="BF102:BL102" si="13">+IF(BF89&gt;$F$102,1,0)</f>
        <v>1</v>
      </c>
      <c r="BG102" s="236"/>
      <c r="BH102" s="236">
        <f t="shared" si="13"/>
        <v>1</v>
      </c>
      <c r="BI102" s="236"/>
      <c r="BJ102" s="236">
        <f t="shared" si="13"/>
        <v>1</v>
      </c>
      <c r="BK102" s="236"/>
      <c r="BL102" s="236">
        <f t="shared" si="13"/>
        <v>1</v>
      </c>
      <c r="BM102" s="236"/>
    </row>
    <row r="103" spans="5:65" hidden="1" x14ac:dyDescent="0.2">
      <c r="F103" s="100"/>
      <c r="H103">
        <v>25.78</v>
      </c>
      <c r="J103">
        <f>1.97+H103</f>
        <v>27.75</v>
      </c>
      <c r="L103">
        <f>3.94+H103</f>
        <v>29.720000000000002</v>
      </c>
      <c r="N103">
        <f>5.91+H103</f>
        <v>31.69</v>
      </c>
      <c r="O103" s="49"/>
      <c r="R103">
        <v>25.78</v>
      </c>
      <c r="T103">
        <f>1.97+R103</f>
        <v>27.75</v>
      </c>
      <c r="V103">
        <f>3.94+R103</f>
        <v>29.720000000000002</v>
      </c>
      <c r="X103">
        <f>5.91+R103</f>
        <v>31.69</v>
      </c>
      <c r="Y103" s="49"/>
      <c r="AB103">
        <v>30.76</v>
      </c>
      <c r="AD103">
        <f>1.97+AB103</f>
        <v>32.730000000000004</v>
      </c>
      <c r="AF103">
        <f>3.94+AB103</f>
        <v>34.700000000000003</v>
      </c>
      <c r="AH103">
        <f>5.91+AB103</f>
        <v>36.67</v>
      </c>
      <c r="AI103" s="49"/>
      <c r="AL103">
        <v>30.76</v>
      </c>
      <c r="AN103">
        <f>1.97+AL103</f>
        <v>32.730000000000004</v>
      </c>
      <c r="AP103">
        <f>3.94+AL103</f>
        <v>34.700000000000003</v>
      </c>
      <c r="AR103">
        <f>5.91+AL103</f>
        <v>36.67</v>
      </c>
      <c r="AV103">
        <v>34.700000000000003</v>
      </c>
      <c r="AX103">
        <f>1.97+AV103</f>
        <v>36.67</v>
      </c>
      <c r="AZ103">
        <f>3.94+AV103</f>
        <v>38.64</v>
      </c>
      <c r="BB103">
        <f>5.91+AV103</f>
        <v>40.61</v>
      </c>
      <c r="BF103">
        <v>34.700000000000003</v>
      </c>
      <c r="BH103">
        <f>1.97+BF103</f>
        <v>36.67</v>
      </c>
      <c r="BJ103">
        <f>3.94+BF103</f>
        <v>38.64</v>
      </c>
      <c r="BL103">
        <f>5.91+BF103</f>
        <v>40.61</v>
      </c>
      <c r="BM103" s="49"/>
    </row>
    <row r="104" spans="5:65" hidden="1" x14ac:dyDescent="0.2">
      <c r="F104" s="100"/>
      <c r="H104" s="49"/>
      <c r="J104" t="s">
        <v>315</v>
      </c>
      <c r="L104" t="s">
        <v>129</v>
      </c>
      <c r="T104" t="s">
        <v>316</v>
      </c>
      <c r="V104" t="s">
        <v>129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5:65" hidden="1" x14ac:dyDescent="0.2">
      <c r="F105" s="100"/>
      <c r="H105" s="49"/>
      <c r="K105" s="112" t="str">
        <f>+IF(H102=1,H101,IF(J102=1,J101,IF(L102=1,L101,IF(N102=1,N101,0))))</f>
        <v>12+5 JUM</v>
      </c>
      <c r="L105" s="112" t="str">
        <f>+AE105</f>
        <v>15+5 JUM</v>
      </c>
      <c r="M105" s="112" t="str">
        <f>+AY105</f>
        <v>20+5 JUM</v>
      </c>
      <c r="U105" t="str">
        <f>+IF(R102=1,R101,IF(T102=1,T101,IF(V102=1,V101,IF(X102=1,X101,0))))</f>
        <v>12+6 JUM</v>
      </c>
      <c r="V105" t="str">
        <f>+AO105</f>
        <v>15+5 JUM</v>
      </c>
      <c r="W105" t="str">
        <f>+AY105</f>
        <v>20+5 JUM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 JUM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 JUM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 JUM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 JUM</v>
      </c>
      <c r="BJ105" s="49"/>
      <c r="BK105" s="49"/>
      <c r="BL105" s="49"/>
      <c r="BM105" s="49"/>
    </row>
    <row r="106" spans="5:65" hidden="1" x14ac:dyDescent="0.2">
      <c r="F106" s="100"/>
      <c r="H106" s="49"/>
      <c r="J106" s="98" t="str">
        <f>+IF(K105&gt;0,K105,IF(L105&gt;0,L105,IF(M105&gt;0,M105,"hors limite")))</f>
        <v>12+5 JUM</v>
      </c>
      <c r="T106" s="98" t="str">
        <f>+IF(U105&gt;0,U105,IF(V105&gt;0,V105,IF(W105&gt;0,W105,"hors limite")))</f>
        <v>12+6 JUM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5:65" hidden="1" x14ac:dyDescent="0.2">
      <c r="F107" s="100"/>
      <c r="H107" s="49"/>
      <c r="I107" t="s">
        <v>75</v>
      </c>
      <c r="J107" s="98">
        <f>+IF(K105&gt;0,K107,IF(L105&gt;0,L107,IF(M105&gt;0,M107,0)))</f>
        <v>220</v>
      </c>
      <c r="K107">
        <f>+HLOOKUP(J106,H59:O88,28,FALSE)</f>
        <v>220</v>
      </c>
      <c r="L107">
        <f>+HLOOKUP(L105,AB59:AI88,28,FALSE)</f>
        <v>260</v>
      </c>
      <c r="M107">
        <f>+HLOOKUP(M105,AV59:BC88,28,FALSE)</f>
        <v>315</v>
      </c>
      <c r="T107" s="98">
        <f>+IF(U105&gt;0,U107,IF(V105&gt;0,V107,IF(W105&gt;0,W107,0)))</f>
        <v>229</v>
      </c>
      <c r="U107">
        <f>+HLOOKUP(U105,R59:Y88,28,FALSE)</f>
        <v>229</v>
      </c>
      <c r="V107">
        <f>+HLOOKUP(V105,AL59:AS88,28,FALSE)</f>
        <v>232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5:65" hidden="1" x14ac:dyDescent="0.2">
      <c r="F108" s="98" t="s">
        <v>314</v>
      </c>
      <c r="H108" s="49"/>
      <c r="I108" t="s">
        <v>72</v>
      </c>
      <c r="J108" s="98">
        <f>+IF(K105&gt;0,K108,IF(L105&gt;0,L108,IF(M105&gt;0,M108,0)))</f>
        <v>66</v>
      </c>
      <c r="K108">
        <f>+HLOOKUP(J106,H59:O88,29,FALSE)</f>
        <v>66</v>
      </c>
      <c r="L108">
        <f>+HLOOKUP(L105,AB59:AI88,29,FALSE)</f>
        <v>79</v>
      </c>
      <c r="M108">
        <f>+HLOOKUP(M105,AV59:BC88,29,FALSE)</f>
        <v>96.5</v>
      </c>
      <c r="T108" s="98">
        <f>+IF(U105&gt;0,U108,IF(V105&gt;0,V108,IF(W105&gt;0,W108,0)))</f>
        <v>72.5</v>
      </c>
      <c r="U108">
        <f>+HLOOKUP(U105,R59:Y88,29,FALSE)</f>
        <v>72.5</v>
      </c>
      <c r="V108">
        <f>+HLOOKUP(V105,AL59:AS88,29,FALSE)</f>
        <v>74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5:65" hidden="1" x14ac:dyDescent="0.2">
      <c r="F109" s="100"/>
      <c r="H109" s="49"/>
      <c r="I109" s="49" t="s">
        <v>167</v>
      </c>
      <c r="J109" s="98">
        <f>+IF(K105&gt;0,K109,IF(L105&gt;0,L109,IF(M105&gt;0,M109,0)))</f>
        <v>25.78</v>
      </c>
      <c r="K109">
        <f>+HLOOKUP(K105,H101:O103,3,FALSE)</f>
        <v>25.78</v>
      </c>
      <c r="L109">
        <f>+HLOOKUP(L105,AB101:AI103,3,FALSE)</f>
        <v>30.76</v>
      </c>
      <c r="M109">
        <f>+HLOOKUP(M105,AV101:BC103,3,FALSE)</f>
        <v>34.700000000000003</v>
      </c>
      <c r="N109" s="49"/>
      <c r="O109" s="49"/>
      <c r="R109" s="49"/>
      <c r="S109" s="49"/>
      <c r="T109" s="98">
        <f>+IF(U105&gt;0,U109,IF(V105&gt;0,V109,IF(W105&gt;0,W109,0)))</f>
        <v>27.75</v>
      </c>
      <c r="U109">
        <f>+HLOOKUP(U105,R101:Y103,3,FALSE)</f>
        <v>27.75</v>
      </c>
      <c r="V109">
        <f>+HLOOKUP(V105,AL101:AS103,3,FALSE)</f>
        <v>30.76</v>
      </c>
      <c r="W109">
        <f>+HLOOKUP(W105,BF101:BM103,3,FALSE)</f>
        <v>34.700000000000003</v>
      </c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5:65" hidden="1" x14ac:dyDescent="0.2">
      <c r="F110" s="100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5:65" hidden="1" x14ac:dyDescent="0.2">
      <c r="J111" s="98"/>
      <c r="T111" s="98"/>
    </row>
    <row r="112" spans="5:65" hidden="1" x14ac:dyDescent="0.2">
      <c r="J112" s="98"/>
      <c r="T112" s="98"/>
    </row>
    <row r="113" spans="6:65" hidden="1" x14ac:dyDescent="0.2">
      <c r="G113" s="98" t="s">
        <v>88</v>
      </c>
      <c r="H113" s="236" t="s">
        <v>111</v>
      </c>
      <c r="I113" s="236"/>
      <c r="J113" s="236" t="s">
        <v>112</v>
      </c>
      <c r="K113" s="236"/>
      <c r="L113" s="236" t="s">
        <v>113</v>
      </c>
      <c r="M113" s="236"/>
      <c r="N113" s="236" t="s">
        <v>114</v>
      </c>
      <c r="O113" s="236"/>
      <c r="Q113" t="s">
        <v>88</v>
      </c>
      <c r="R113" s="236" t="s">
        <v>111</v>
      </c>
      <c r="S113" s="236"/>
      <c r="T113" s="236" t="s">
        <v>112</v>
      </c>
      <c r="U113" s="236"/>
      <c r="V113" s="236" t="s">
        <v>113</v>
      </c>
      <c r="W113" s="236"/>
      <c r="X113" s="236" t="s">
        <v>114</v>
      </c>
      <c r="Y113" s="236"/>
      <c r="AA113" s="98" t="s">
        <v>88</v>
      </c>
      <c r="AB113" s="236" t="s">
        <v>115</v>
      </c>
      <c r="AC113" s="236"/>
      <c r="AD113" s="236" t="s">
        <v>116</v>
      </c>
      <c r="AE113" s="236"/>
      <c r="AF113" s="236" t="s">
        <v>117</v>
      </c>
      <c r="AG113" s="236"/>
      <c r="AH113" s="236" t="s">
        <v>118</v>
      </c>
      <c r="AI113" s="236"/>
      <c r="AK113" t="s">
        <v>88</v>
      </c>
      <c r="AL113" s="236" t="s">
        <v>115</v>
      </c>
      <c r="AM113" s="236"/>
      <c r="AN113" s="236" t="s">
        <v>116</v>
      </c>
      <c r="AO113" s="236"/>
      <c r="AP113" s="236" t="s">
        <v>117</v>
      </c>
      <c r="AQ113" s="236"/>
      <c r="AR113" s="236" t="s">
        <v>118</v>
      </c>
      <c r="AS113" s="236"/>
      <c r="AU113" t="s">
        <v>88</v>
      </c>
      <c r="AV113" s="236" t="s">
        <v>119</v>
      </c>
      <c r="AW113" s="236"/>
      <c r="AX113" s="236" t="s">
        <v>120</v>
      </c>
      <c r="AY113" s="236"/>
      <c r="AZ113" s="236" t="s">
        <v>121</v>
      </c>
      <c r="BA113" s="236"/>
      <c r="BB113" s="236" t="s">
        <v>122</v>
      </c>
      <c r="BC113" s="236"/>
      <c r="BE113" t="s">
        <v>88</v>
      </c>
      <c r="BF113" s="236" t="s">
        <v>119</v>
      </c>
      <c r="BG113" s="236"/>
      <c r="BH113" s="236" t="s">
        <v>120</v>
      </c>
      <c r="BI113" s="236"/>
      <c r="BJ113" s="236" t="s">
        <v>121</v>
      </c>
      <c r="BK113" s="236"/>
      <c r="BL113" s="236" t="s">
        <v>122</v>
      </c>
      <c r="BM113" s="236"/>
    </row>
    <row r="114" spans="6:65" hidden="1" x14ac:dyDescent="0.2">
      <c r="F114" s="100"/>
      <c r="H114" s="236">
        <f>+IF(H43&gt;$F$102,1,0)</f>
        <v>0</v>
      </c>
      <c r="I114" s="236"/>
      <c r="J114" s="236">
        <f t="shared" ref="J114" si="14">+IF(J43&gt;$F$102,1,0)</f>
        <v>0</v>
      </c>
      <c r="K114" s="236"/>
      <c r="L114" s="236">
        <f t="shared" ref="L114" si="15">+IF(L43&gt;$F$102,1,0)</f>
        <v>0</v>
      </c>
      <c r="M114" s="236"/>
      <c r="N114" s="236">
        <f t="shared" ref="N114" si="16">+IF(N43&gt;$F$102,1,0)</f>
        <v>1</v>
      </c>
      <c r="O114" s="236"/>
      <c r="R114" s="236">
        <f>+IF(R43&gt;$F$102,1,0)</f>
        <v>0</v>
      </c>
      <c r="S114" s="236"/>
      <c r="T114" s="236">
        <f t="shared" ref="T114" si="17">+IF(T43&gt;$F$102,1,0)</f>
        <v>0</v>
      </c>
      <c r="U114" s="236"/>
      <c r="V114" s="236">
        <f t="shared" ref="V114" si="18">+IF(V43&gt;$F$102,1,0)</f>
        <v>0</v>
      </c>
      <c r="W114" s="236"/>
      <c r="X114" s="236">
        <f t="shared" ref="X114" si="19">+IF(X43&gt;$F$102,1,0)</f>
        <v>0</v>
      </c>
      <c r="Y114" s="236"/>
      <c r="AB114" s="236">
        <f>+IF(AB43&gt;$F$102,1,0)</f>
        <v>1</v>
      </c>
      <c r="AC114" s="236"/>
      <c r="AD114" s="236">
        <f t="shared" ref="AD114" si="20">+IF(AD43&gt;$F$102,1,0)</f>
        <v>1</v>
      </c>
      <c r="AE114" s="236"/>
      <c r="AF114" s="236">
        <f t="shared" ref="AF114" si="21">+IF(AF43&gt;$F$102,1,0)</f>
        <v>1</v>
      </c>
      <c r="AG114" s="236"/>
      <c r="AH114" s="236">
        <f t="shared" ref="AH114" si="22">+IF(AH43&gt;$F$102,1,0)</f>
        <v>1</v>
      </c>
      <c r="AI114" s="236"/>
      <c r="AL114" s="236">
        <f>+IF(AL43&gt;$F$102,1,0)</f>
        <v>0</v>
      </c>
      <c r="AM114" s="236"/>
      <c r="AN114" s="236">
        <f t="shared" ref="AN114" si="23">+IF(AN43&gt;$F$102,1,0)</f>
        <v>1</v>
      </c>
      <c r="AO114" s="236"/>
      <c r="AP114" s="236">
        <f t="shared" ref="AP114" si="24">+IF(AP43&gt;$F$102,1,0)</f>
        <v>1</v>
      </c>
      <c r="AQ114" s="236"/>
      <c r="AR114" s="236">
        <f t="shared" ref="AR114" si="25">+IF(AR43&gt;$F$102,1,0)</f>
        <v>1</v>
      </c>
      <c r="AS114" s="236"/>
      <c r="AV114" s="236">
        <f>+IF(AV43&gt;$F$102,1,0)</f>
        <v>1</v>
      </c>
      <c r="AW114" s="236"/>
      <c r="AX114" s="236">
        <f t="shared" ref="AX114" si="26">+IF(AX43&gt;$F$102,1,0)</f>
        <v>1</v>
      </c>
      <c r="AY114" s="236"/>
      <c r="AZ114" s="236">
        <f t="shared" ref="AZ114" si="27">+IF(AZ43&gt;$F$102,1,0)</f>
        <v>1</v>
      </c>
      <c r="BA114" s="236"/>
      <c r="BB114" s="236">
        <f t="shared" ref="BB114" si="28">+IF(BB43&gt;$F$102,1,0)</f>
        <v>1</v>
      </c>
      <c r="BC114" s="236"/>
      <c r="BF114" s="236">
        <f>+IF(BF43&gt;$F$102,1,0)</f>
        <v>1</v>
      </c>
      <c r="BG114" s="236"/>
      <c r="BH114" s="236">
        <f t="shared" ref="BH114" si="29">+IF(BH43&gt;$F$102,1,0)</f>
        <v>1</v>
      </c>
      <c r="BI114" s="236"/>
      <c r="BJ114" s="236">
        <f t="shared" ref="BJ114" si="30">+IF(BJ43&gt;$F$102,1,0)</f>
        <v>1</v>
      </c>
      <c r="BK114" s="236"/>
      <c r="BL114" s="236">
        <f t="shared" ref="BL114" si="31">+IF(BL43&gt;$F$102,1,0)</f>
        <v>1</v>
      </c>
      <c r="BM114" s="236"/>
    </row>
    <row r="115" spans="6:65" hidden="1" x14ac:dyDescent="0.2">
      <c r="H115">
        <v>23.03</v>
      </c>
      <c r="J115">
        <f>1.97+H115</f>
        <v>25</v>
      </c>
      <c r="L115">
        <f>3.94+H115</f>
        <v>26.970000000000002</v>
      </c>
      <c r="N115">
        <f>5.91+H115</f>
        <v>28.94</v>
      </c>
      <c r="R115">
        <v>22.49</v>
      </c>
      <c r="T115">
        <f>1.97+R115</f>
        <v>24.459999999999997</v>
      </c>
      <c r="V115">
        <f>3.94+R115</f>
        <v>26.43</v>
      </c>
      <c r="X115">
        <f>5.91+R115</f>
        <v>28.4</v>
      </c>
      <c r="AB115">
        <v>27.31</v>
      </c>
      <c r="AD115">
        <f>1.97+AB115</f>
        <v>29.279999999999998</v>
      </c>
      <c r="AF115">
        <f>3.94+AB115</f>
        <v>31.25</v>
      </c>
      <c r="AH115">
        <f>5.91+AB115</f>
        <v>33.22</v>
      </c>
      <c r="AL115">
        <v>27.31</v>
      </c>
      <c r="AN115">
        <f>1.97+AL115</f>
        <v>29.279999999999998</v>
      </c>
      <c r="AP115">
        <f>3.94+AL115</f>
        <v>31.25</v>
      </c>
      <c r="AR115">
        <f>5.91+AL115</f>
        <v>33.22</v>
      </c>
      <c r="AV115">
        <v>31.25</v>
      </c>
      <c r="AX115">
        <f>1.97+AV115</f>
        <v>33.22</v>
      </c>
      <c r="AZ115">
        <f>3.94+AV115</f>
        <v>35.19</v>
      </c>
      <c r="BB115">
        <f>5.91+AV115</f>
        <v>37.159999999999997</v>
      </c>
      <c r="BF115">
        <v>31.25</v>
      </c>
      <c r="BH115">
        <f>1.97+BF115</f>
        <v>33.22</v>
      </c>
      <c r="BJ115">
        <f>3.94+BF115</f>
        <v>35.19</v>
      </c>
      <c r="BL115">
        <f>5.91+BF115</f>
        <v>37.159999999999997</v>
      </c>
    </row>
    <row r="116" spans="6:65" hidden="1" x14ac:dyDescent="0.2">
      <c r="J116" t="s">
        <v>123</v>
      </c>
      <c r="L116" t="s">
        <v>88</v>
      </c>
      <c r="T116" t="s">
        <v>124</v>
      </c>
      <c r="V116" t="s">
        <v>88</v>
      </c>
    </row>
    <row r="117" spans="6:65" hidden="1" x14ac:dyDescent="0.2">
      <c r="K117" t="str">
        <f>+IF(H114=1,H113,IF(J114=1,J113,IF(L114=1,L113,IF(N114=1,N113,0))))</f>
        <v>12+8</v>
      </c>
      <c r="L117" t="str">
        <f>+AE117</f>
        <v>15+5</v>
      </c>
      <c r="M117" t="str">
        <f>+AY117</f>
        <v>20+5</v>
      </c>
      <c r="U117">
        <f>+IF(R114=1,R113,IF(T114=1,T113,IF(V114=1,V113,IF(X114=1,X113,0))))</f>
        <v>0</v>
      </c>
      <c r="V117" t="str">
        <f>+AO117</f>
        <v>15+6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15+6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98" t="str">
        <f>+IF(K117&gt;0,K117,IF(L117&gt;0,L117,IF(M117&gt;0,M117,"à jumeler")))</f>
        <v>12+8</v>
      </c>
      <c r="T118" s="98" t="str">
        <f>+IF(U117&gt;0,U117,IF(V117&gt;0,V117,IF(W117&gt;0,W117,"à jumeler")))</f>
        <v>15+6</v>
      </c>
    </row>
    <row r="119" spans="6:65" hidden="1" x14ac:dyDescent="0.2">
      <c r="I119" t="s">
        <v>75</v>
      </c>
      <c r="J119" s="98">
        <f>+IF(K117&gt;0,K119,IF(L117&gt;0,L119,IF(M117&gt;0,M119,0)))</f>
        <v>255</v>
      </c>
      <c r="K119">
        <f>+HLOOKUP(J118,H13:O42,28,FALSE)</f>
        <v>255</v>
      </c>
      <c r="L119">
        <f>+HLOOKUP(L117,AB13:AI41,28,FALSE)</f>
        <v>219</v>
      </c>
      <c r="M119">
        <f>+HLOOKUP(M117,AV13:BC41,28,FALSE)</f>
        <v>265</v>
      </c>
      <c r="T119" s="98">
        <f>+IF(U117&gt;0,U119,IF(V117&gt;0,V119,IF(W117&gt;0,W119,0)))</f>
        <v>233</v>
      </c>
      <c r="U119" t="e">
        <f>+HLOOKUP(U117,R13:Y41,28,FALSE)</f>
        <v>#N/A</v>
      </c>
      <c r="V119">
        <f>+HLOOKUP(V117,AL13:AS41,28,FALSE)</f>
        <v>233</v>
      </c>
      <c r="W119">
        <f>+HLOOKUP(W117,BF13:BM41,28,FALSE)</f>
        <v>272</v>
      </c>
    </row>
    <row r="120" spans="6:65" hidden="1" x14ac:dyDescent="0.2">
      <c r="I120" t="s">
        <v>72</v>
      </c>
      <c r="J120" s="98">
        <f>+IF(K117&gt;0,K120,IF(L117&gt;0,L120,IF(M117&gt;0,M120,0)))</f>
        <v>92</v>
      </c>
      <c r="K120">
        <f>+HLOOKUP(J118,H13:O41,29,FALSE)</f>
        <v>92</v>
      </c>
      <c r="L120">
        <f>+HLOOKUP(L117,AB13:AI41,29,FALSE)</f>
        <v>69</v>
      </c>
      <c r="M120">
        <f>+HLOOKUP(M117,AV13:BC92,29,FALSE)</f>
        <v>89.5</v>
      </c>
      <c r="T120" s="98">
        <f>+IF(U117&gt;0,U120,IF(V117&gt;0,V120,IF(W117&gt;0,W120,0)))</f>
        <v>76</v>
      </c>
      <c r="U120" t="e">
        <f>+HLOOKUP(U117,R13:Y41,29,FALSE)</f>
        <v>#N/A</v>
      </c>
      <c r="V120">
        <f>+HLOOKUP(V117,AL13:AS41,29,FALSE)</f>
        <v>76</v>
      </c>
      <c r="W120">
        <f>+HLOOKUP(W117,BF13:BM41,29,FALSE)</f>
        <v>86</v>
      </c>
    </row>
    <row r="121" spans="6:65" hidden="1" x14ac:dyDescent="0.2">
      <c r="I121" t="s">
        <v>274</v>
      </c>
      <c r="J121" s="98">
        <f>+IF(K117&gt;0,K121,IF(L117&gt;0,L121,IF(M117&gt;0,M121,0)))</f>
        <v>28.94</v>
      </c>
      <c r="K121">
        <f>+HLOOKUP(K117,H113:O115,3,FALSE)</f>
        <v>28.94</v>
      </c>
      <c r="L121">
        <f>+HLOOKUP(L117,AB113:AI115,3,FALSE)</f>
        <v>27.31</v>
      </c>
      <c r="M121">
        <f>+HLOOKUP(M117,AV113:BC115,3,FALSE)</f>
        <v>31.25</v>
      </c>
      <c r="T121" s="98">
        <f>+IF(U117&gt;0,U121,IF(V117&gt;0,V121,IF(W117&gt;0,W121,0)))</f>
        <v>29.279999999999998</v>
      </c>
      <c r="U121" t="e">
        <f>+HLOOKUP(U117,R113:Y115,3,FALSE)</f>
        <v>#N/A</v>
      </c>
      <c r="V121">
        <f>+HLOOKUP(V117,AL113:AS115,3,FALSE)</f>
        <v>29.279999999999998</v>
      </c>
      <c r="W121">
        <f>+HLOOKUP(W117,BF113:BM115,3,FALSE)</f>
        <v>31.25</v>
      </c>
    </row>
    <row r="122" spans="6:65" hidden="1" x14ac:dyDescent="0.2"/>
    <row r="123" spans="6:65" hidden="1" x14ac:dyDescent="0.2"/>
    <row r="124" spans="6:65" hidden="1" x14ac:dyDescent="0.2"/>
    <row r="125" spans="6:65" hidden="1" x14ac:dyDescent="0.2"/>
  </sheetData>
  <sheetProtection algorithmName="SHA-512" hashValue="tjU4XOwcXI3+ftSGhKK9Py3RgJsrhZ0Du/M3ua2CZvC9I/5XP6jlFn4DE9QTkThBLCoVyBmDpZxZjdaHFjOXbQ==" saltValue="rwBVEe3EwkwJOzf64UUvGA==" spinCount="100000" sheet="1" objects="1" scenarios="1"/>
  <mergeCells count="336">
    <mergeCell ref="AZ114:BA114"/>
    <mergeCell ref="BB114:BC114"/>
    <mergeCell ref="BF114:BG114"/>
    <mergeCell ref="BH114:BI114"/>
    <mergeCell ref="BJ114:BK114"/>
    <mergeCell ref="BL114:BM114"/>
    <mergeCell ref="AL114:AM114"/>
    <mergeCell ref="AN114:AO114"/>
    <mergeCell ref="AP114:AQ114"/>
    <mergeCell ref="AR114:AS114"/>
    <mergeCell ref="AV114:AW114"/>
    <mergeCell ref="AX114:AY114"/>
    <mergeCell ref="V114:W114"/>
    <mergeCell ref="X114:Y114"/>
    <mergeCell ref="AB114:AC114"/>
    <mergeCell ref="AD114:AE114"/>
    <mergeCell ref="AF114:AG114"/>
    <mergeCell ref="AH114:AI114"/>
    <mergeCell ref="H114:I114"/>
    <mergeCell ref="J114:K114"/>
    <mergeCell ref="L114:M114"/>
    <mergeCell ref="N114:O114"/>
    <mergeCell ref="R114:S114"/>
    <mergeCell ref="T114:U114"/>
    <mergeCell ref="AZ113:BA113"/>
    <mergeCell ref="BB113:BC113"/>
    <mergeCell ref="BF113:BG113"/>
    <mergeCell ref="BH113:BI113"/>
    <mergeCell ref="BJ113:BK113"/>
    <mergeCell ref="BL113:BM113"/>
    <mergeCell ref="AL113:AM113"/>
    <mergeCell ref="AN113:AO113"/>
    <mergeCell ref="AP113:AQ113"/>
    <mergeCell ref="AR113:AS113"/>
    <mergeCell ref="AV113:AW113"/>
    <mergeCell ref="AX113:AY113"/>
    <mergeCell ref="V113:W113"/>
    <mergeCell ref="X113:Y113"/>
    <mergeCell ref="AB113:AC113"/>
    <mergeCell ref="AD113:AE113"/>
    <mergeCell ref="AF113:AG113"/>
    <mergeCell ref="AH113:AI113"/>
    <mergeCell ref="H113:I113"/>
    <mergeCell ref="J113:K113"/>
    <mergeCell ref="L113:M113"/>
    <mergeCell ref="N113:O113"/>
    <mergeCell ref="R113:S113"/>
    <mergeCell ref="T113:U113"/>
    <mergeCell ref="AZ102:BA102"/>
    <mergeCell ref="BB102:BC102"/>
    <mergeCell ref="BF102:BG102"/>
    <mergeCell ref="BH102:BI102"/>
    <mergeCell ref="BJ102:BK102"/>
    <mergeCell ref="BL102:BM102"/>
    <mergeCell ref="AL102:AM102"/>
    <mergeCell ref="AN102:AO102"/>
    <mergeCell ref="AP102:AQ102"/>
    <mergeCell ref="AR102:AS102"/>
    <mergeCell ref="AV102:AW102"/>
    <mergeCell ref="AX102:AY102"/>
    <mergeCell ref="V102:W102"/>
    <mergeCell ref="X102:Y102"/>
    <mergeCell ref="AB102:AC102"/>
    <mergeCell ref="AD102:AE102"/>
    <mergeCell ref="AF102:AG102"/>
    <mergeCell ref="AH102:AI102"/>
    <mergeCell ref="H102:I102"/>
    <mergeCell ref="J102:K102"/>
    <mergeCell ref="L102:M102"/>
    <mergeCell ref="N102:O102"/>
    <mergeCell ref="R102:S102"/>
    <mergeCell ref="T102:U102"/>
    <mergeCell ref="AZ101:BA101"/>
    <mergeCell ref="BB101:BC101"/>
    <mergeCell ref="BF101:BG101"/>
    <mergeCell ref="BH101:BI101"/>
    <mergeCell ref="BJ101:BK101"/>
    <mergeCell ref="BL101:BM101"/>
    <mergeCell ref="AL101:AM101"/>
    <mergeCell ref="AN101:AO101"/>
    <mergeCell ref="AP101:AQ101"/>
    <mergeCell ref="AR101:AS101"/>
    <mergeCell ref="AV101:AW101"/>
    <mergeCell ref="AX101:AY101"/>
    <mergeCell ref="V101:W101"/>
    <mergeCell ref="X101:Y101"/>
    <mergeCell ref="AB101:AC101"/>
    <mergeCell ref="AD101:AE101"/>
    <mergeCell ref="AF101:AG101"/>
    <mergeCell ref="AH101:AI101"/>
    <mergeCell ref="H101:I101"/>
    <mergeCell ref="J101:K101"/>
    <mergeCell ref="L101:M101"/>
    <mergeCell ref="N101:O101"/>
    <mergeCell ref="R101:S101"/>
    <mergeCell ref="T101:U101"/>
    <mergeCell ref="AZ89:BA89"/>
    <mergeCell ref="BB89:BC89"/>
    <mergeCell ref="BF89:BG89"/>
    <mergeCell ref="BH89:BI89"/>
    <mergeCell ref="BJ89:BK89"/>
    <mergeCell ref="BL89:BM89"/>
    <mergeCell ref="AL89:AM89"/>
    <mergeCell ref="AN89:AO89"/>
    <mergeCell ref="AP89:AQ89"/>
    <mergeCell ref="AR89:AS89"/>
    <mergeCell ref="AV89:AW89"/>
    <mergeCell ref="AX89:AY89"/>
    <mergeCell ref="V89:W89"/>
    <mergeCell ref="X89:Y89"/>
    <mergeCell ref="AB89:AC89"/>
    <mergeCell ref="AD89:AE89"/>
    <mergeCell ref="AF89:AG89"/>
    <mergeCell ref="AH89:AI89"/>
    <mergeCell ref="H89:I89"/>
    <mergeCell ref="J89:K89"/>
    <mergeCell ref="L89:M89"/>
    <mergeCell ref="N89:O89"/>
    <mergeCell ref="R89:S89"/>
    <mergeCell ref="T89:U89"/>
    <mergeCell ref="AZ87:BA87"/>
    <mergeCell ref="BB87:BC87"/>
    <mergeCell ref="BF87:BG87"/>
    <mergeCell ref="BH87:BI87"/>
    <mergeCell ref="BJ87:BK87"/>
    <mergeCell ref="BL87:BM87"/>
    <mergeCell ref="AL87:AM87"/>
    <mergeCell ref="AN87:AO87"/>
    <mergeCell ref="AP87:AQ87"/>
    <mergeCell ref="AR87:AS87"/>
    <mergeCell ref="AV87:AW87"/>
    <mergeCell ref="AX87:AY87"/>
    <mergeCell ref="V87:W87"/>
    <mergeCell ref="X87:Y87"/>
    <mergeCell ref="AB87:AC87"/>
    <mergeCell ref="AD87:AE87"/>
    <mergeCell ref="AF87:AG87"/>
    <mergeCell ref="AH87:AI87"/>
    <mergeCell ref="H87:I87"/>
    <mergeCell ref="J87:K87"/>
    <mergeCell ref="L87:M87"/>
    <mergeCell ref="N87:O87"/>
    <mergeCell ref="R87:S87"/>
    <mergeCell ref="T87:U87"/>
    <mergeCell ref="AZ86:BA86"/>
    <mergeCell ref="BB86:BC86"/>
    <mergeCell ref="BF86:BG86"/>
    <mergeCell ref="BH86:BI86"/>
    <mergeCell ref="BJ86:BK86"/>
    <mergeCell ref="BL86:BM86"/>
    <mergeCell ref="AL86:AM86"/>
    <mergeCell ref="AN86:AO86"/>
    <mergeCell ref="AP86:AQ86"/>
    <mergeCell ref="AR86:AS86"/>
    <mergeCell ref="AV86:AW86"/>
    <mergeCell ref="AX86:AY86"/>
    <mergeCell ref="V86:W86"/>
    <mergeCell ref="X86:Y86"/>
    <mergeCell ref="AB86:AC86"/>
    <mergeCell ref="AD86:AE86"/>
    <mergeCell ref="AF86:AG86"/>
    <mergeCell ref="AH86:AI86"/>
    <mergeCell ref="H86:I86"/>
    <mergeCell ref="J86:K86"/>
    <mergeCell ref="L86:M86"/>
    <mergeCell ref="N86:O86"/>
    <mergeCell ref="R86:S86"/>
    <mergeCell ref="T86:U86"/>
    <mergeCell ref="AZ60:BA60"/>
    <mergeCell ref="BB60:BC60"/>
    <mergeCell ref="BF60:BG60"/>
    <mergeCell ref="BH60:BI60"/>
    <mergeCell ref="BJ60:BK60"/>
    <mergeCell ref="BL60:BM60"/>
    <mergeCell ref="AL60:AM60"/>
    <mergeCell ref="AN60:AO60"/>
    <mergeCell ref="AP60:AQ60"/>
    <mergeCell ref="AR60:AS60"/>
    <mergeCell ref="AV60:AW60"/>
    <mergeCell ref="AX60:AY60"/>
    <mergeCell ref="V60:W60"/>
    <mergeCell ref="X60:Y60"/>
    <mergeCell ref="AB60:AC60"/>
    <mergeCell ref="AD60:AE60"/>
    <mergeCell ref="AF60:AG60"/>
    <mergeCell ref="AH60:AI60"/>
    <mergeCell ref="H60:I60"/>
    <mergeCell ref="J60:K60"/>
    <mergeCell ref="L60:M60"/>
    <mergeCell ref="N60:O60"/>
    <mergeCell ref="R60:S60"/>
    <mergeCell ref="T60:U60"/>
    <mergeCell ref="AZ59:BA59"/>
    <mergeCell ref="BB59:BC59"/>
    <mergeCell ref="BF59:BG59"/>
    <mergeCell ref="BH59:BI59"/>
    <mergeCell ref="BJ59:BK59"/>
    <mergeCell ref="BL59:BM59"/>
    <mergeCell ref="AL59:AM59"/>
    <mergeCell ref="AN59:AO59"/>
    <mergeCell ref="AP59:AQ59"/>
    <mergeCell ref="AR59:AS59"/>
    <mergeCell ref="AV59:AW59"/>
    <mergeCell ref="AX59:AY59"/>
    <mergeCell ref="V59:W59"/>
    <mergeCell ref="X59:Y59"/>
    <mergeCell ref="AB59:AC59"/>
    <mergeCell ref="AD59:AE59"/>
    <mergeCell ref="AF59:AG59"/>
    <mergeCell ref="AH59:AI59"/>
    <mergeCell ref="H59:I59"/>
    <mergeCell ref="J59:K59"/>
    <mergeCell ref="L59:M59"/>
    <mergeCell ref="N59:O59"/>
    <mergeCell ref="R59:S59"/>
    <mergeCell ref="T59:U59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  <mergeCell ref="V43:W43"/>
    <mergeCell ref="X43:Y43"/>
    <mergeCell ref="AB43:AC43"/>
    <mergeCell ref="AD43:AE43"/>
    <mergeCell ref="AF43:AG43"/>
    <mergeCell ref="AH43:AI43"/>
    <mergeCell ref="H43:I43"/>
    <mergeCell ref="J43:K43"/>
    <mergeCell ref="L43:M43"/>
    <mergeCell ref="N43:O43"/>
    <mergeCell ref="R43:S43"/>
    <mergeCell ref="T43:U43"/>
    <mergeCell ref="AZ41:BA41"/>
    <mergeCell ref="BB41:BC41"/>
    <mergeCell ref="BF41:BG41"/>
    <mergeCell ref="BH41:BI41"/>
    <mergeCell ref="BJ41:BK41"/>
    <mergeCell ref="BL41:BM41"/>
    <mergeCell ref="AL41:AM41"/>
    <mergeCell ref="AN41:AO41"/>
    <mergeCell ref="AP41:AQ41"/>
    <mergeCell ref="AR41:AS41"/>
    <mergeCell ref="AV41:AW41"/>
    <mergeCell ref="AX41:AY41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N41:O41"/>
    <mergeCell ref="R41:S41"/>
    <mergeCell ref="T41:U41"/>
    <mergeCell ref="AZ40:BA40"/>
    <mergeCell ref="BB40:BC40"/>
    <mergeCell ref="BF40:BG40"/>
    <mergeCell ref="BH40:BI40"/>
    <mergeCell ref="BJ40:BK40"/>
    <mergeCell ref="BL40:BM40"/>
    <mergeCell ref="AL40:AM40"/>
    <mergeCell ref="AN40:AO40"/>
    <mergeCell ref="AP40:AQ40"/>
    <mergeCell ref="AR40:AS40"/>
    <mergeCell ref="AV40:AW40"/>
    <mergeCell ref="AX40:AY40"/>
    <mergeCell ref="V40:W40"/>
    <mergeCell ref="X40:Y40"/>
    <mergeCell ref="AB40:AC40"/>
    <mergeCell ref="AD40:AE40"/>
    <mergeCell ref="AF40:AG40"/>
    <mergeCell ref="AH40:AI40"/>
    <mergeCell ref="H40:I40"/>
    <mergeCell ref="J40:K40"/>
    <mergeCell ref="L40:M40"/>
    <mergeCell ref="N40:O40"/>
    <mergeCell ref="R40:S40"/>
    <mergeCell ref="T40:U40"/>
    <mergeCell ref="AZ14:BA14"/>
    <mergeCell ref="BB14:BC14"/>
    <mergeCell ref="BF14:BG14"/>
    <mergeCell ref="BH14:BI14"/>
    <mergeCell ref="BJ14:BK14"/>
    <mergeCell ref="BL14:BM14"/>
    <mergeCell ref="AL14:AM14"/>
    <mergeCell ref="AN14:AO14"/>
    <mergeCell ref="AP14:AQ14"/>
    <mergeCell ref="AR14:AS14"/>
    <mergeCell ref="AV14:AW14"/>
    <mergeCell ref="AX14:AY14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AZ13:BA13"/>
    <mergeCell ref="BB13:BC13"/>
    <mergeCell ref="BF13:BG13"/>
    <mergeCell ref="BH13:BI13"/>
    <mergeCell ref="BJ13:BK13"/>
    <mergeCell ref="BL13:BM13"/>
    <mergeCell ref="AL13:AM13"/>
    <mergeCell ref="AN13:AO13"/>
    <mergeCell ref="AP13:AQ13"/>
    <mergeCell ref="AR13:AS13"/>
    <mergeCell ref="AV13:AW13"/>
    <mergeCell ref="AX13:AY13"/>
    <mergeCell ref="V13:W13"/>
    <mergeCell ref="X13:Y13"/>
    <mergeCell ref="AB13:AC13"/>
    <mergeCell ref="AD13:AE13"/>
    <mergeCell ref="AF13:AG13"/>
    <mergeCell ref="AH13:AI13"/>
    <mergeCell ref="H13:I13"/>
    <mergeCell ref="J13:K13"/>
    <mergeCell ref="L13:M13"/>
    <mergeCell ref="N13:O13"/>
    <mergeCell ref="R13:S13"/>
    <mergeCell ref="T13:U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2</vt:i4>
      </vt:variant>
    </vt:vector>
  </HeadingPairs>
  <TitlesOfParts>
    <vt:vector size="14" baseType="lpstr">
      <vt:lpstr>DIM</vt:lpstr>
      <vt:lpstr>descriptif</vt:lpstr>
      <vt:lpstr>AIDE</vt:lpstr>
      <vt:lpstr>polyseac</vt:lpstr>
      <vt:lpstr>ebsvs</vt:lpstr>
      <vt:lpstr>plastivs</vt:lpstr>
      <vt:lpstr>seacisol</vt:lpstr>
      <vt:lpstr>ebset</vt:lpstr>
      <vt:lpstr>seacbois</vt:lpstr>
      <vt:lpstr>images</vt:lpstr>
      <vt:lpstr>acv</vt:lpstr>
      <vt:lpstr>GF SE VS Polyseac Jum</vt:lpstr>
      <vt:lpstr>nomproduit</vt:lpstr>
      <vt:lpstr>DIM!Zone_d_impression</vt:lpstr>
    </vt:vector>
  </TitlesOfParts>
  <Company>GUIRAUD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Marchesin P.</dc:creator>
  <cp:lastModifiedBy>patrick ader</cp:lastModifiedBy>
  <cp:lastPrinted>2025-09-15T06:32:36Z</cp:lastPrinted>
  <dcterms:created xsi:type="dcterms:W3CDTF">1999-10-12T09:34:53Z</dcterms:created>
  <dcterms:modified xsi:type="dcterms:W3CDTF">2026-03-12T19:47:40Z</dcterms:modified>
</cp:coreProperties>
</file>