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der\Dropbox\re2020\"/>
    </mc:Choice>
  </mc:AlternateContent>
  <xr:revisionPtr revIDLastSave="0" documentId="13_ncr:1_{224BDF6E-08CC-473D-8316-EBCDE703FC12}" xr6:coauthVersionLast="47" xr6:coauthVersionMax="47" xr10:uidLastSave="{00000000-0000-0000-0000-000000000000}"/>
  <workbookProtection workbookAlgorithmName="SHA-512" workbookHashValue="ju4QtrMkVHs5LCN3rZctpk6SZBX4t4+0QLw2il8pAVeRX5YCbkZPuejPSXkhkSjM3eya7wgV+7W+QnLj9yWKEA==" workbookSaltValue="QgRPg/f8lEA8R7ugv+RcoA==" workbookSpinCount="100000" lockStructure="1"/>
  <bookViews>
    <workbookView showHorizontalScroll="0" showVerticalScroll="0" showSheetTabs="0" xWindow="-113" yWindow="-113" windowWidth="24267" windowHeight="13148" tabRatio="825" xr2:uid="{00000000-000D-0000-FFFF-FFFF00000000}"/>
  </bookViews>
  <sheets>
    <sheet name="ACCEUIL" sheetId="2" r:id="rId1"/>
    <sheet name="vs" sheetId="3" r:id="rId2"/>
    <sheet name="INTERMEDIAIRE" sheetId="1" r:id="rId3"/>
    <sheet name="toiture" sheetId="4" r:id="rId4"/>
    <sheet name="desc vs" sheetId="5" r:id="rId5"/>
    <sheet name="desc vs ebs" sheetId="8" r:id="rId6"/>
    <sheet name="desc inter AVEC R" sheetId="6" r:id="rId7"/>
    <sheet name="desc inter sans R" sheetId="9" r:id="rId8"/>
    <sheet name="desc tt" sheetId="7" r:id="rId9"/>
  </sheets>
  <definedNames>
    <definedName name="_xlnm.Print_Area" localSheetId="2">INTERMEDIAIRE!$A$1:$Y$49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R20" i="1"/>
  <c r="B48" i="1"/>
  <c r="B47" i="1"/>
  <c r="U20" i="1"/>
  <c r="C32" i="4"/>
  <c r="C32" i="1"/>
  <c r="D30" i="3"/>
  <c r="D29" i="3"/>
  <c r="B6" i="4"/>
  <c r="B5" i="1"/>
  <c r="B5" i="3"/>
  <c r="X17" i="3"/>
  <c r="B44" i="4"/>
  <c r="B45" i="1"/>
  <c r="D40" i="3"/>
  <c r="S17" i="3"/>
  <c r="D38" i="3"/>
  <c r="BC15" i="3"/>
  <c r="BD15" i="3" s="1"/>
  <c r="BC14" i="3"/>
  <c r="BD14" i="3" s="1"/>
  <c r="BC13" i="3"/>
  <c r="BD13" i="3" s="1"/>
  <c r="AZ26" i="3"/>
  <c r="AY26" i="3"/>
  <c r="AX26" i="3"/>
  <c r="AW26" i="3"/>
  <c r="AZ25" i="3"/>
  <c r="AY25" i="3"/>
  <c r="AX25" i="3"/>
  <c r="AW25" i="3"/>
  <c r="BD25" i="3" s="1"/>
  <c r="AZ24" i="3"/>
  <c r="AY24" i="3"/>
  <c r="AX24" i="3"/>
  <c r="AW24" i="3"/>
  <c r="BD24" i="3" s="1"/>
  <c r="AZ23" i="3"/>
  <c r="AY23" i="3"/>
  <c r="AX23" i="3"/>
  <c r="AW23" i="3"/>
  <c r="BD23" i="3" s="1"/>
  <c r="AZ19" i="3"/>
  <c r="AY19" i="3"/>
  <c r="AX19" i="3"/>
  <c r="AW19" i="3"/>
  <c r="AZ18" i="3"/>
  <c r="AY18" i="3"/>
  <c r="AX18" i="3"/>
  <c r="AW18" i="3"/>
  <c r="AZ17" i="3"/>
  <c r="AY17" i="3"/>
  <c r="AX17" i="3"/>
  <c r="AW17" i="3"/>
  <c r="AR14" i="4"/>
  <c r="AO24" i="4" s="1"/>
  <c r="AR15" i="4"/>
  <c r="H20" i="1"/>
  <c r="AR14" i="1"/>
  <c r="AN24" i="1" s="1"/>
  <c r="H20" i="4"/>
  <c r="AL24" i="4" l="1"/>
  <c r="AN24" i="4"/>
  <c r="AM24" i="4"/>
  <c r="AS14" i="4"/>
  <c r="AS14" i="1"/>
  <c r="AL24" i="1"/>
  <c r="AS24" i="1" s="1"/>
  <c r="AO24" i="1"/>
  <c r="AM24" i="1"/>
  <c r="B47" i="4"/>
  <c r="B46" i="4"/>
  <c r="B45" i="4"/>
  <c r="B43" i="4"/>
  <c r="B42" i="4"/>
  <c r="B41" i="4"/>
  <c r="AE38" i="4"/>
  <c r="AE37" i="4"/>
  <c r="AO28" i="4" s="1"/>
  <c r="AE36" i="4"/>
  <c r="AN28" i="4"/>
  <c r="AI25" i="4"/>
  <c r="V20" i="4" s="1"/>
  <c r="AO25" i="4"/>
  <c r="AM25" i="4"/>
  <c r="AL25" i="4"/>
  <c r="AO20" i="4"/>
  <c r="AN20" i="4"/>
  <c r="AM20" i="4"/>
  <c r="AL20" i="4"/>
  <c r="X20" i="4"/>
  <c r="U20" i="4"/>
  <c r="R20" i="4"/>
  <c r="O20" i="4"/>
  <c r="J20" i="4"/>
  <c r="I28" i="4" s="1"/>
  <c r="G28" i="4"/>
  <c r="E20" i="4"/>
  <c r="D20" i="4"/>
  <c r="AO19" i="4"/>
  <c r="AN19" i="4"/>
  <c r="AM19" i="4"/>
  <c r="AL19" i="4"/>
  <c r="AO18" i="4"/>
  <c r="AN18" i="4"/>
  <c r="AM18" i="4"/>
  <c r="AL18" i="4"/>
  <c r="AR16" i="4"/>
  <c r="AO26" i="4" s="1"/>
  <c r="AS15" i="4"/>
  <c r="AN25" i="4"/>
  <c r="AE39" i="1"/>
  <c r="AE38" i="1"/>
  <c r="AN27" i="1" s="1"/>
  <c r="AE37" i="1"/>
  <c r="D41" i="3"/>
  <c r="D39" i="3"/>
  <c r="D37" i="3"/>
  <c r="Y17" i="3"/>
  <c r="Q26" i="3"/>
  <c r="AE64" i="3"/>
  <c r="Q28" i="3" s="1"/>
  <c r="K17" i="3"/>
  <c r="J26" i="3" s="1"/>
  <c r="I17" i="3"/>
  <c r="H26" i="3" s="1"/>
  <c r="F17" i="3"/>
  <c r="O17" i="3"/>
  <c r="E17" i="3"/>
  <c r="AM28" i="4" l="1"/>
  <c r="AL28" i="4"/>
  <c r="L37" i="4" s="1"/>
  <c r="AS25" i="4"/>
  <c r="N20" i="4" s="1"/>
  <c r="S28" i="4"/>
  <c r="AS24" i="4"/>
  <c r="AM27" i="1"/>
  <c r="AL27" i="1"/>
  <c r="AO27" i="1"/>
  <c r="L38" i="1"/>
  <c r="AF64" i="3"/>
  <c r="N17" i="3" s="1"/>
  <c r="Q29" i="3" s="1"/>
  <c r="F20" i="4"/>
  <c r="B28" i="4" s="1"/>
  <c r="P28" i="4"/>
  <c r="AS16" i="4"/>
  <c r="M20" i="4" s="1"/>
  <c r="AL26" i="4"/>
  <c r="AM26" i="4"/>
  <c r="AN26" i="4"/>
  <c r="V17" i="3"/>
  <c r="G17" i="3"/>
  <c r="D26" i="3" s="1"/>
  <c r="AS26" i="4" l="1"/>
  <c r="S31" i="4" s="1"/>
  <c r="P17" i="3"/>
  <c r="L26" i="3" s="1"/>
  <c r="L31" i="3" s="1"/>
  <c r="S32" i="4"/>
  <c r="P20" i="4"/>
  <c r="K28" i="4" s="1"/>
  <c r="K34" i="4" s="1"/>
  <c r="T17" i="3" l="1"/>
  <c r="W20" i="4"/>
  <c r="AI26" i="1"/>
  <c r="V20" i="1" s="1"/>
  <c r="B44" i="1"/>
  <c r="B43" i="1"/>
  <c r="B42" i="1"/>
  <c r="S28" i="1" l="1"/>
  <c r="P28" i="1"/>
  <c r="AR15" i="1"/>
  <c r="AS15" i="1" s="1"/>
  <c r="M20" i="1" s="1"/>
  <c r="AR16" i="1"/>
  <c r="AS16" i="1" s="1"/>
  <c r="AO20" i="1"/>
  <c r="AN20" i="1"/>
  <c r="AM20" i="1"/>
  <c r="AL20" i="1"/>
  <c r="AO19" i="1"/>
  <c r="AN19" i="1"/>
  <c r="AM19" i="1"/>
  <c r="AL19" i="1"/>
  <c r="AM18" i="1"/>
  <c r="AO18" i="1"/>
  <c r="AN18" i="1"/>
  <c r="AL18" i="1"/>
  <c r="J20" i="1"/>
  <c r="I28" i="1" s="1"/>
  <c r="E20" i="1"/>
  <c r="O20" i="1"/>
  <c r="G28" i="1"/>
  <c r="D20" i="1"/>
  <c r="AL25" i="1" l="1"/>
  <c r="AO25" i="1"/>
  <c r="AN25" i="1"/>
  <c r="AM25" i="1"/>
  <c r="AO26" i="1"/>
  <c r="AN26" i="1"/>
  <c r="AL26" i="1"/>
  <c r="AM26" i="1"/>
  <c r="F20" i="1"/>
  <c r="B28" i="1" s="1"/>
  <c r="P20" i="1" l="1"/>
  <c r="W20" i="1" s="1"/>
  <c r="S32" i="1"/>
  <c r="AS25" i="1"/>
  <c r="N20" i="1" s="1"/>
  <c r="AS26" i="1"/>
  <c r="K28" i="1" l="1"/>
  <c r="K35" i="1" s="1"/>
  <c r="S31" i="1"/>
</calcChain>
</file>

<file path=xl/sharedStrings.xml><?xml version="1.0" encoding="utf-8"?>
<sst xmlns="http://schemas.openxmlformats.org/spreadsheetml/2006/main" count="511" uniqueCount="228">
  <si>
    <t>R</t>
  </si>
  <si>
    <t>beton</t>
  </si>
  <si>
    <t>co²eq/l</t>
  </si>
  <si>
    <t>(197.5/m3)</t>
  </si>
  <si>
    <t>CEM II/C25/30</t>
  </si>
  <si>
    <t>sans</t>
  </si>
  <si>
    <t>poutrelle</t>
  </si>
  <si>
    <t>Poutrelle BP (12 cm &lt; h ≤ 15 cm)</t>
  </si>
  <si>
    <t>co²eq/ml</t>
  </si>
  <si>
    <t>Poutrelle BP (h ≤ 12 cm)</t>
  </si>
  <si>
    <t xml:space="preserve">Poutrelle TREILLIS </t>
  </si>
  <si>
    <t>PSE KNAUF Therm  200 mm</t>
  </si>
  <si>
    <t>KG/m²</t>
  </si>
  <si>
    <t>acier ferraillage</t>
  </si>
  <si>
    <t>EBS</t>
  </si>
  <si>
    <t>engelvin</t>
  </si>
  <si>
    <t>wordsteel</t>
  </si>
  <si>
    <t>hourdis beton</t>
  </si>
  <si>
    <t>cerib</t>
  </si>
  <si>
    <t>ded</t>
  </si>
  <si>
    <t>polyseac up 11</t>
  </si>
  <si>
    <t>knauf</t>
  </si>
  <si>
    <t>polyseac up 15</t>
  </si>
  <si>
    <t>polyseac up 19</t>
  </si>
  <si>
    <t>polyseac up 23</t>
  </si>
  <si>
    <t>polyseac up 27</t>
  </si>
  <si>
    <t>polyseac up 30</t>
  </si>
  <si>
    <t>kp1</t>
  </si>
  <si>
    <t>polyseac up 80</t>
  </si>
  <si>
    <t>(kgco²eq/m²)</t>
  </si>
  <si>
    <t>POUTRELLE</t>
  </si>
  <si>
    <t>ENTREVOUS</t>
  </si>
  <si>
    <t>ACIERS</t>
  </si>
  <si>
    <t>TABLE DE COMPRESSION</t>
  </si>
  <si>
    <t xml:space="preserve">CO² MONTAGE </t>
  </si>
  <si>
    <t xml:space="preserve">R* MONTAGE </t>
  </si>
  <si>
    <t>entraxe(cm)</t>
  </si>
  <si>
    <t>kg co²eq    m²</t>
  </si>
  <si>
    <t>entrevous</t>
  </si>
  <si>
    <t>kg co²eq    /m²</t>
  </si>
  <si>
    <t>Qté (l)</t>
  </si>
  <si>
    <t>co²eq/m²</t>
  </si>
  <si>
    <t>kg co²eq/m²</t>
  </si>
  <si>
    <t>m².K/W</t>
  </si>
  <si>
    <t>simple</t>
  </si>
  <si>
    <t>jumelée</t>
  </si>
  <si>
    <t>GF120</t>
  </si>
  <si>
    <t>GF137</t>
  </si>
  <si>
    <t>ecart table</t>
  </si>
  <si>
    <t>GF120 JUM</t>
  </si>
  <si>
    <t>GF137 JUM</t>
  </si>
  <si>
    <t>FAUX PLAFOND</t>
  </si>
  <si>
    <t>ep 100 mm</t>
  </si>
  <si>
    <t>BA 13</t>
  </si>
  <si>
    <t>poids ptrelle/m2</t>
  </si>
  <si>
    <t>poids ebs 15/m²</t>
  </si>
  <si>
    <t>poids ebs 20/m²</t>
  </si>
  <si>
    <t>poids pla 20+</t>
  </si>
  <si>
    <t>poids pla 15+</t>
  </si>
  <si>
    <t>POIDS</t>
  </si>
  <si>
    <t>EBS 15X57X125</t>
  </si>
  <si>
    <t>EBS 20X57X125</t>
  </si>
  <si>
    <t>45 mm</t>
  </si>
  <si>
    <t>100 mm</t>
  </si>
  <si>
    <t>OSSATURE</t>
  </si>
  <si>
    <t>GF 112 à GF 125</t>
  </si>
  <si>
    <t>GF 137,GF 158</t>
  </si>
  <si>
    <t>GF 158</t>
  </si>
  <si>
    <t>GF 158 JUM</t>
  </si>
  <si>
    <t>poids  calc 15+5</t>
  </si>
  <si>
    <t>poids  calc 20+5</t>
  </si>
  <si>
    <t>plaque</t>
  </si>
  <si>
    <t>FDES_Poutrelle_BP H inf. 12cm_03.2020 n°1-72:2020</t>
  </si>
  <si>
    <t>FDES_Poutrelle_BP H 12_15 cm_03.2020 n°1-73:2020</t>
  </si>
  <si>
    <t>FDES_Engelvin bois moulé n°1-33 : 2020</t>
  </si>
  <si>
    <t>APA_FDES__Armatures catalogue_2023_06_v1.3</t>
  </si>
  <si>
    <t>FDES_2020_GR_32_Roule_Revetu_Kraft_100mm_v2</t>
  </si>
  <si>
    <t>FDES_2022_05_24_GR32_Revetu Kraft_45MM</t>
  </si>
  <si>
    <t>FDES_KNAUF_KF-BA-13_2023-07-12</t>
  </si>
  <si>
    <t xml:space="preserve"> Résultats réchauffement climatique par élément de plancher (kg CO2 eq.)</t>
  </si>
  <si>
    <t>Poids du montage…..................</t>
  </si>
  <si>
    <t>oss</t>
  </si>
  <si>
    <t>kg  CO² eq/m²</t>
  </si>
  <si>
    <t>CO²</t>
  </si>
  <si>
    <t>KNAUF Thane  56 mm</t>
  </si>
  <si>
    <t>PU TMS 30 mm</t>
  </si>
  <si>
    <t>KNAUF Thane  80 mm</t>
  </si>
  <si>
    <t>PU TMS 48 mm</t>
  </si>
  <si>
    <t>KNAUF Thane 100 mm</t>
  </si>
  <si>
    <t>PU TMS 56 mm</t>
  </si>
  <si>
    <t>PU TMS 68 mm</t>
  </si>
  <si>
    <t>R isolant</t>
  </si>
  <si>
    <t>R hourdis</t>
  </si>
  <si>
    <t>PU TMS 80 mm</t>
  </si>
  <si>
    <t>PU TMS 100 mm</t>
  </si>
  <si>
    <t>PU TMS 120 mm</t>
  </si>
  <si>
    <t xml:space="preserve">PU UNILIN UTHERM 80 mm - </t>
  </si>
  <si>
    <t xml:space="preserve">PU  UNILIN UTHERM 101 mm - </t>
  </si>
  <si>
    <t xml:space="preserve">PU UNILIN UTHERM 120 mm - </t>
  </si>
  <si>
    <t>PU projeté in-situ 70 mm</t>
  </si>
  <si>
    <t>PSE KNAUF Therm  80 mm</t>
  </si>
  <si>
    <t>PSE KNAUF Therm 100 mm</t>
  </si>
  <si>
    <t>co²eq/kg</t>
  </si>
  <si>
    <t>GF 137-GF 158</t>
  </si>
  <si>
    <t>GF 933 à GF 937</t>
  </si>
  <si>
    <t>EBS 12X57X125</t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</si>
  <si>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</si>
  <si>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</si>
  <si>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15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</si>
  <si>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</si>
  <si>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</si>
  <si>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</si>
  <si>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</si>
  <si>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</si>
  <si>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</si>
  <si>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</si>
  <si>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</si>
  <si>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</si>
  <si>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</si>
  <si>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</si>
  <si>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</si>
  <si>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</si>
  <si>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</si>
  <si>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</si>
  <si>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t>137-930</t>
  </si>
  <si>
    <t>ecart de table</t>
  </si>
  <si>
    <t>EVEA_pour GIOFS_FDES Ossatures pour plafonds - fourrures_ cornieres et lisses 03-2021</t>
  </si>
  <si>
    <t>Beton_(hors armature) pour dalle C25 30 XC1 XC2 CEMII A_07_2019</t>
  </si>
  <si>
    <t>FDES_KNAUF_HOURDIVERSEL_2020-11-02</t>
  </si>
  <si>
    <t xml:space="preserve">R DU  MONTAGE </t>
  </si>
  <si>
    <t>FDES_KNAUF_HOURDIVERSEL_2020-11-03</t>
  </si>
  <si>
    <t>FDES_KNAUF_HOURDIVERSEL_2020-11-04</t>
  </si>
  <si>
    <t>FDES_KNAUF_HOURDIVERSEL_2020-11-05</t>
  </si>
  <si>
    <t>FDES_KNAUF_HOURDIVERSEL_2020-11-06</t>
  </si>
  <si>
    <t>FDES_KNAUF_HOURDIVERSEL_2020-11-07</t>
  </si>
  <si>
    <t>FDES_KNAUF_HOURDIVERSEL_2020-11-08</t>
  </si>
  <si>
    <t>FDES_KNAUF_HOURDIVERSEL_2020-11-09</t>
  </si>
  <si>
    <t>FDES_KNAUF_HOURDIVERSEL_2020-11-10</t>
  </si>
  <si>
    <t>FDES_KNAUF_HOURDIVERSEL_2020-11-11</t>
  </si>
  <si>
    <t>FDES_KNAUF_HOURDIVERSEL_2020-11-12</t>
  </si>
  <si>
    <t>FDES_KNAUF_HOURDIVERSEL_2020-11-13</t>
  </si>
  <si>
    <t>FDES_KNAUF_HOURDIVERSEL_2020-11-14</t>
  </si>
  <si>
    <t>FDES_KNAUF_HOURDIVERSEL_2020-11-15</t>
  </si>
  <si>
    <t>FDES_KNAUF_HOURDIVERSEL_2020-11-16</t>
  </si>
  <si>
    <t>FDES_KNAUF_HOURDIVERSEL_2020-11-17</t>
  </si>
  <si>
    <t>FDES_KNAUF_HOURDIVERSEL_2020-11-18</t>
  </si>
  <si>
    <t>FDES_KNAUF_HOURDIVERSEL_2020-11-19</t>
  </si>
  <si>
    <t>FDES_SOPREMA_TMS sol 30 mm_20201027</t>
  </si>
  <si>
    <t>FDES_SOPREMA_TMS sol 48 mm_20201027</t>
  </si>
  <si>
    <t>FDES_SOPREMA_TMS sol 56 mm_20191119</t>
  </si>
  <si>
    <t>FDES_SOPREMA_TMS sol 68 mm_20201027</t>
  </si>
  <si>
    <t>FDES_SOPREMA_TMS sol 80 mm_20191119</t>
  </si>
  <si>
    <t>FDES_SOPREMA_TMS sol 100 mm_20191119</t>
  </si>
  <si>
    <t>FDES_SOPREMA_TMS sol 120 mm_20201027</t>
  </si>
  <si>
    <t>poid au ml</t>
  </si>
  <si>
    <t xml:space="preserve">poids biosourcé </t>
  </si>
  <si>
    <t>kg/m²</t>
  </si>
  <si>
    <r>
      <rPr>
        <sz val="11"/>
        <color theme="1"/>
        <rFont val="Calibri"/>
        <family val="2"/>
      </rPr>
      <t xml:space="preserve">        </t>
    </r>
    <r>
      <rPr>
        <u/>
        <sz val="11"/>
        <color theme="1"/>
        <rFont val="Calibri"/>
        <family val="2"/>
      </rPr>
      <t xml:space="preserve"> poids de matière biosourcé du montage</t>
    </r>
  </si>
  <si>
    <t>SELECTIONNEZ</t>
  </si>
  <si>
    <t>poids  calc 12+5</t>
  </si>
  <si>
    <t>poids pla 12+</t>
  </si>
  <si>
    <t>La dalle de compression sera coulée en béton de classe de résistance minimale C25/30 et armé d'un treillis soudé.</t>
  </si>
  <si>
    <t>Les rupteurs thermiques périphériques seront de type Stoptherm EPT et EPL.</t>
  </si>
  <si>
    <t>Les rupteurs refends seront de type Stoptherm refend bloc ou similaire</t>
  </si>
  <si>
    <t xml:space="preserve">Le surfaçage à la taloche sera particulièrement soigné pour les zones recevant un revêtement de sol souple ou un carrelage collé. </t>
  </si>
  <si>
    <t>Pour l'arase de sol, l'entrepreneur devra tenir compte de l’épaisseur des différents revêtements de sol.</t>
  </si>
  <si>
    <t>Descriptif type pour plancher seacoustic VS</t>
  </si>
  <si>
    <t>Dimensionnement du plancher suivant le cahier des charges de SEAC.</t>
  </si>
  <si>
    <t>Poids du montage…..........................</t>
  </si>
  <si>
    <t>litrage</t>
  </si>
  <si>
    <t>poids</t>
  </si>
  <si>
    <t>Les planchers seront constitués par un montage type Plancher Seacoustic VS ou similaire</t>
  </si>
  <si>
    <t xml:space="preserve"> composé de poutrelles en béton précontraint et d'entrevous Polyseac Up ….</t>
  </si>
  <si>
    <t>Un isolant surfacique sera mis en place d'une Résistance thermique minimale de  de R =--------</t>
  </si>
  <si>
    <t>une chape de ----cm  sera coulé pour recevoir le revetement de sol</t>
  </si>
  <si>
    <t>cliquez sur l'image pour afficher le descriptif</t>
  </si>
  <si>
    <t>Les planchers seront constitués par un montage type Plancher Seacoustic 3 ou similaire.</t>
  </si>
  <si>
    <t>L’indice d’affaiblissement acoustique sera d’au minimum 63 dB.</t>
  </si>
  <si>
    <t>La dalle de compression sera de 5 cm minimum pour garantir l'inertie thermique du plancher (définition d'un</t>
  </si>
  <si>
    <t>plancher lourd selon la règlementation thermique).</t>
  </si>
  <si>
    <t>Un matériau résilient sera positionné sur la chape carrelage Δlw de 19 dB.</t>
  </si>
  <si>
    <t>Dans le cas d’utilisation de laine minérale supérieure à 45 mm d’épaisseur,</t>
  </si>
  <si>
    <t xml:space="preserve"> le faux-plafond plaque de plâtre de 13 mm minimum sera positionné de telle sorte </t>
  </si>
  <si>
    <t>que le bas des poutrelles soit encastré au maximum de 20 mm dans la laine minérale.</t>
  </si>
  <si>
    <t xml:space="preserve"> composé de poutrelles en béton précontraint et d'entrevous EBS d'un poids carbone de  -7.66 CO² eq m²</t>
  </si>
  <si>
    <t> cas de chape carrelage sur matériau résilient</t>
  </si>
  <si>
    <t xml:space="preserve">Le revêtement de sol souple devra être au minimum  de Δlw de 19 dB.
</t>
  </si>
  <si>
    <t>cas d’un revêtement sol souple</t>
  </si>
  <si>
    <t>Descriptif type pour plancher toiture terrasse</t>
  </si>
  <si>
    <t xml:space="preserve">Les aciers d’ancrage des acrotères seront intégrés au coulage dans la dalle de compression du plancher.
</t>
  </si>
  <si>
    <t>Aucun isolant ne sera placé dans le plénum afin d'éviter toute condensation due au point de rosé au niveau de l'ancrage des poutrelles.</t>
  </si>
  <si>
    <t>Les planchers seront constitués par un montage type Plancher toiture terrasse EBS  ou similaire.</t>
  </si>
  <si>
    <t>CEM III/C25/30</t>
  </si>
  <si>
    <t>Béton C25-30 CEMIII-A S4 XC1 Hors armature configurateur BETie - Version Septembre 2018</t>
  </si>
  <si>
    <r>
      <t xml:space="preserve">fdes selon les normes </t>
    </r>
    <r>
      <rPr>
        <sz val="9"/>
        <color theme="1"/>
        <rFont val="Comic Sans MS"/>
        <family val="4"/>
      </rPr>
      <t>NF EN 15804+A1 et NF EN 15804/CN</t>
    </r>
  </si>
  <si>
    <t xml:space="preserve">Descriptif type pour plancher seacoustic </t>
  </si>
  <si>
    <t>Descriptif type pour plancher seacoustic</t>
  </si>
  <si>
    <t xml:space="preserve"> composé de poutrelles en béton précontraint et d'entrevous EBS d'un poids carbone de  -7.66 kg CO² eq m²</t>
  </si>
  <si>
    <t>Montage avec rupteurs</t>
  </si>
  <si>
    <t>Montage  sans rupteurs</t>
  </si>
  <si>
    <t>Montage sans rupteurs</t>
  </si>
  <si>
    <t xml:space="preserve"> composé de poutrelles en béton précontraint et d'entrevous EBS d'un poids carbone de     -7.66 kg CO² eq m²</t>
  </si>
  <si>
    <t>ref chantier:</t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</si>
  <si>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</si>
  <si>
    <t xml:space="preserve">EBS </t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</si>
  <si>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</si>
  <si>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</si>
  <si>
    <r>
      <t>polystyrenel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</si>
  <si>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15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</si>
  <si>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</si>
  <si>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</si>
  <si>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</si>
  <si>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</si>
  <si>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</si>
  <si>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</si>
  <si>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</si>
  <si>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</si>
  <si>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</si>
  <si>
    <t xml:space="preserve">ref chantier </t>
  </si>
  <si>
    <t>ref chantier</t>
  </si>
  <si>
    <t>version 6/11/2023</t>
  </si>
  <si>
    <t>MONTAGE CHOISI</t>
  </si>
  <si>
    <t>litrage béton…..................................</t>
  </si>
  <si>
    <t>Réferences des FDES prises en compte (base INIES)</t>
  </si>
  <si>
    <t>BA 25</t>
  </si>
  <si>
    <t>FDES__PLACO_DUOTECH_25_2022_07_08</t>
  </si>
  <si>
    <t>120 mm</t>
  </si>
  <si>
    <t>FDES_2020_GR_32_Roule_Revetu_Kraft_120mm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</si>
</sst>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0.000"/>
    <numFmt numFmtId="165" formatCode="_-* #,##0.0&quot; Kg/m²&quot;_-;\-* #,##0.0&quot; m²&quot;_-;_-* &quot;-&quot;??\ &quot;F&quot;_-;_-@_-"/>
    <numFmt numFmtId="166" formatCode="_0.0&quot; cm&quot;_-;\-* #,##0.0&quot; cm&quot;_-;_-* &quot;-&quot;??\ &quot;F&quot;_-;_-@_-"/>
    <numFmt numFmtId="167" formatCode="_-* #,##0.0&quot; l/m²&quot;_-;\-* #,##0.0&quot; m²&quot;_-;_-* &quot;-&quot;??\ &quot;F&quot;_-;_-@_-"/>
    <numFmt numFmtId="168" formatCode="_ 0&quot; l/m²&quot;_-;\-* 0.0&quot; m²&quot;_-;_-* &quot;-&quot;??\ &quot;F&quot;_-;_-@_-"/>
    <numFmt numFmtId="169" formatCode="_ 0&quot; kg/m²&quot;_-;\-* 0.0&quot; m²&quot;_-;_-* &quot;-&quot;??\ &quot;F&quot;_-;_-@_-"/>
    <numFmt numFmtId="170" formatCode="_ 0.00&quot; kg CO² eq m²&quot;_-;\-* 0.000&quot; m²&quot;_-;_-* &quot;-&quot;??\ &quot;F&quot;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sz val="10"/>
      <color theme="4"/>
      <name val="Calibri"/>
      <family val="2"/>
    </font>
    <font>
      <sz val="11"/>
      <color theme="4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</font>
    <font>
      <sz val="9"/>
      <name val="Times New Roman"/>
      <family val="1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1"/>
      <color theme="1"/>
      <name val="Comic Sans MS"/>
      <family val="4"/>
    </font>
    <font>
      <sz val="11"/>
      <color rgb="FF000000"/>
      <name val="Comic Sans MS"/>
      <family val="4"/>
    </font>
    <font>
      <b/>
      <sz val="18"/>
      <color theme="9" tint="-0.499984740745262"/>
      <name val="Calibri"/>
      <family val="2"/>
      <scheme val="minor"/>
    </font>
    <font>
      <b/>
      <sz val="14"/>
      <color rgb="FF000000"/>
      <name val="Arial"/>
      <family val="2"/>
    </font>
    <font>
      <sz val="9"/>
      <color theme="1"/>
      <name val="Comic Sans MS"/>
      <family val="4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D966"/>
        <bgColor indexed="64"/>
      </patternFill>
    </fill>
    <fill>
      <patternFill patternType="solid">
        <fgColor rgb="FFBBA791"/>
        <bgColor rgb="FF000000"/>
      </patternFill>
    </fill>
    <fill>
      <patternFill patternType="solid">
        <fgColor theme="4" tint="0.3999450666829432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125">
        <fgColor rgb="FF000000"/>
        <bgColor rgb="FFBFBFBF"/>
      </patternFill>
    </fill>
    <fill>
      <patternFill patternType="gray125">
        <fgColor rgb="FF000000"/>
        <bgColor rgb="FFDDEBF7"/>
      </patternFill>
    </fill>
    <fill>
      <patternFill patternType="gray125">
        <fgColor rgb="FF000000"/>
        <bgColor rgb="FFF4B084"/>
      </patternFill>
    </fill>
    <fill>
      <patternFill patternType="gray125">
        <fgColor rgb="FF000000"/>
        <bgColor rgb="FFA6A6A6"/>
      </patternFill>
    </fill>
    <fill>
      <patternFill patternType="gray125">
        <fgColor rgb="FF000000"/>
        <bgColor rgb="FFFFD966"/>
      </patternFill>
    </fill>
    <fill>
      <patternFill patternType="gray125">
        <bgColor rgb="FFFFD96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BA79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6A6A6"/>
        <bgColor indexed="64"/>
      </patternFill>
    </fill>
    <fill>
      <patternFill patternType="gray0625"/>
    </fill>
    <fill>
      <patternFill patternType="gray0625">
        <bgColor theme="0" tint="-0.249977111117893"/>
      </patternFill>
    </fill>
    <fill>
      <patternFill patternType="gray0625">
        <bgColor rgb="FFBBA791"/>
      </patternFill>
    </fill>
    <fill>
      <patternFill patternType="gray0625">
        <bgColor theme="5" tint="0.39997558519241921"/>
      </patternFill>
    </fill>
    <fill>
      <patternFill patternType="gray0625">
        <bgColor theme="0" tint="-0.34998626667073579"/>
      </patternFill>
    </fill>
    <fill>
      <patternFill patternType="gray0625">
        <bgColor theme="7" tint="0.39997558519241921"/>
      </patternFill>
    </fill>
    <fill>
      <patternFill patternType="solid">
        <fgColor theme="0" tint="-4.9989318521683403E-2"/>
        <bgColor indexed="64"/>
      </patternFill>
    </fill>
    <fill>
      <patternFill patternType="gray125">
        <fgColor rgb="FF000000"/>
        <bgColor theme="0"/>
      </patternFill>
    </fill>
  </fills>
  <borders count="4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theme="1" tint="1"/>
      </left>
      <right style="thin">
        <color theme="1" tint="1"/>
      </right>
      <top style="thin">
        <color theme="1" tint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2" fontId="1" fillId="0" borderId="2" xfId="0" applyNumberFormat="1" applyFont="1" applyBorder="1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7" borderId="0" xfId="0" applyFont="1" applyFill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/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Protection="1">
      <protection hidden="1"/>
    </xf>
    <xf numFmtId="165" fontId="0" fillId="0" borderId="0" xfId="1" applyNumberFormat="1" applyFont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9" fillId="10" borderId="16" xfId="0" applyFont="1" applyFill="1" applyBorder="1" applyAlignment="1" applyProtection="1">
      <alignment horizontal="center"/>
      <protection locked="0"/>
    </xf>
    <xf numFmtId="0" fontId="9" fillId="6" borderId="16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vertical="center"/>
      <protection locked="0"/>
    </xf>
    <xf numFmtId="0" fontId="9" fillId="5" borderId="16" xfId="0" applyFont="1" applyFill="1" applyBorder="1" applyAlignment="1" applyProtection="1">
      <alignment horizontal="center"/>
      <protection locked="0"/>
    </xf>
    <xf numFmtId="166" fontId="9" fillId="5" borderId="16" xfId="0" applyNumberFormat="1" applyFont="1" applyFill="1" applyBorder="1" applyAlignment="1" applyProtection="1">
      <alignment horizontal="center"/>
      <protection locked="0"/>
    </xf>
    <xf numFmtId="0" fontId="9" fillId="5" borderId="9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 applyAlignment="1" applyProtection="1">
      <alignment vertical="center"/>
      <protection locked="0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" fillId="8" borderId="15" xfId="0" applyFont="1" applyFill="1" applyBorder="1" applyProtection="1">
      <protection hidden="1"/>
    </xf>
    <xf numFmtId="164" fontId="1" fillId="7" borderId="9" xfId="0" applyNumberFormat="1" applyFont="1" applyFill="1" applyBorder="1" applyProtection="1">
      <protection hidden="1"/>
    </xf>
    <xf numFmtId="2" fontId="9" fillId="11" borderId="16" xfId="0" applyNumberFormat="1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/>
    <xf numFmtId="0" fontId="4" fillId="3" borderId="5" xfId="0" applyFont="1" applyFill="1" applyBorder="1"/>
    <xf numFmtId="0" fontId="8" fillId="4" borderId="25" xfId="0" applyFont="1" applyFill="1" applyBorder="1" applyAlignment="1" applyProtection="1">
      <alignment vertical="center"/>
      <protection locked="0"/>
    </xf>
    <xf numFmtId="0" fontId="1" fillId="1" borderId="20" xfId="0" applyFont="1" applyFill="1" applyBorder="1"/>
    <xf numFmtId="0" fontId="1" fillId="1" borderId="5" xfId="0" applyFont="1" applyFill="1" applyBorder="1"/>
    <xf numFmtId="0" fontId="1" fillId="1" borderId="5" xfId="0" applyFont="1" applyFill="1" applyBorder="1" applyAlignment="1">
      <alignment horizontal="center"/>
    </xf>
    <xf numFmtId="0" fontId="1" fillId="1" borderId="21" xfId="0" applyFont="1" applyFill="1" applyBorder="1"/>
    <xf numFmtId="0" fontId="1" fillId="1" borderId="4" xfId="0" applyFont="1" applyFill="1" applyBorder="1"/>
    <xf numFmtId="0" fontId="1" fillId="1" borderId="22" xfId="0" applyFont="1" applyFill="1" applyBorder="1"/>
    <xf numFmtId="0" fontId="1" fillId="15" borderId="13" xfId="0" applyFont="1" applyFill="1" applyBorder="1"/>
    <xf numFmtId="0" fontId="1" fillId="18" borderId="8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 vertical="center" wrapText="1"/>
    </xf>
    <xf numFmtId="164" fontId="9" fillId="20" borderId="3" xfId="0" applyNumberFormat="1" applyFont="1" applyFill="1" applyBorder="1" applyProtection="1">
      <protection hidden="1"/>
    </xf>
    <xf numFmtId="164" fontId="2" fillId="1" borderId="27" xfId="0" applyNumberFormat="1" applyFont="1" applyFill="1" applyBorder="1" applyAlignment="1" applyProtection="1">
      <alignment vertical="center"/>
      <protection hidden="1"/>
    </xf>
    <xf numFmtId="0" fontId="1" fillId="1" borderId="27" xfId="0" applyFont="1" applyFill="1" applyBorder="1" applyProtection="1">
      <protection hidden="1"/>
    </xf>
    <xf numFmtId="0" fontId="1" fillId="3" borderId="5" xfId="0" applyFont="1" applyFill="1" applyBorder="1"/>
    <xf numFmtId="14" fontId="3" fillId="0" borderId="27" xfId="0" applyNumberFormat="1" applyFont="1" applyBorder="1" applyAlignment="1">
      <alignment horizontal="left"/>
    </xf>
    <xf numFmtId="0" fontId="1" fillId="21" borderId="21" xfId="0" applyFont="1" applyFill="1" applyBorder="1"/>
    <xf numFmtId="0" fontId="1" fillId="21" borderId="22" xfId="0" applyFont="1" applyFill="1" applyBorder="1"/>
    <xf numFmtId="0" fontId="1" fillId="6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Protection="1">
      <protection hidden="1"/>
    </xf>
    <xf numFmtId="0" fontId="1" fillId="21" borderId="28" xfId="0" applyFont="1" applyFill="1" applyBorder="1"/>
    <xf numFmtId="0" fontId="1" fillId="1" borderId="0" xfId="0" applyFont="1" applyFill="1"/>
    <xf numFmtId="0" fontId="1" fillId="1" borderId="0" xfId="0" applyFont="1" applyFill="1" applyAlignment="1">
      <alignment horizontal="center"/>
    </xf>
    <xf numFmtId="164" fontId="2" fillId="1" borderId="0" xfId="0" applyNumberFormat="1" applyFont="1" applyFill="1" applyAlignment="1" applyProtection="1">
      <alignment vertical="center"/>
      <protection hidden="1"/>
    </xf>
    <xf numFmtId="0" fontId="1" fillId="1" borderId="0" xfId="0" applyFont="1" applyFill="1" applyProtection="1">
      <protection hidden="1"/>
    </xf>
    <xf numFmtId="0" fontId="1" fillId="1" borderId="22" xfId="0" applyFont="1" applyFill="1" applyBorder="1" applyProtection="1">
      <protection hidden="1"/>
    </xf>
    <xf numFmtId="0" fontId="1" fillId="1" borderId="28" xfId="0" applyFont="1" applyFill="1" applyBorder="1" applyProtection="1">
      <protection hidden="1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24" borderId="35" xfId="0" applyFont="1" applyFill="1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0" fontId="0" fillId="0" borderId="0" xfId="0" applyAlignment="1">
      <alignment horizontal="right"/>
    </xf>
    <xf numFmtId="0" fontId="15" fillId="27" borderId="0" xfId="0" applyFont="1" applyFill="1" applyAlignment="1">
      <alignment horizontal="center"/>
    </xf>
    <xf numFmtId="0" fontId="18" fillId="0" borderId="0" xfId="0" applyFont="1" applyAlignment="1" applyProtection="1">
      <alignment vertical="center"/>
      <protection locked="0"/>
    </xf>
    <xf numFmtId="164" fontId="18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hidden="1"/>
    </xf>
    <xf numFmtId="0" fontId="18" fillId="24" borderId="0" xfId="0" applyFont="1" applyFill="1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18" fillId="24" borderId="0" xfId="0" applyFont="1" applyFill="1" applyAlignment="1">
      <alignment horizontal="right" vertical="center"/>
    </xf>
    <xf numFmtId="0" fontId="20" fillId="0" borderId="36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center" vertical="top" wrapText="1"/>
    </xf>
    <xf numFmtId="0" fontId="17" fillId="0" borderId="0" xfId="0" applyFont="1"/>
    <xf numFmtId="0" fontId="17" fillId="0" borderId="0" xfId="0" applyFont="1" applyAlignment="1">
      <alignment horizontal="center"/>
    </xf>
    <xf numFmtId="14" fontId="15" fillId="0" borderId="0" xfId="0" applyNumberFormat="1" applyFont="1" applyAlignment="1">
      <alignment horizontal="left"/>
    </xf>
    <xf numFmtId="165" fontId="9" fillId="29" borderId="16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8" fillId="25" borderId="8" xfId="0" applyFont="1" applyFill="1" applyBorder="1" applyAlignment="1" applyProtection="1">
      <alignment vertical="center"/>
      <protection locked="0"/>
    </xf>
    <xf numFmtId="2" fontId="0" fillId="0" borderId="0" xfId="0" applyNumberFormat="1" applyProtection="1">
      <protection hidden="1"/>
    </xf>
    <xf numFmtId="0" fontId="0" fillId="25" borderId="9" xfId="0" applyFill="1" applyBorder="1"/>
    <xf numFmtId="165" fontId="23" fillId="30" borderId="16" xfId="0" applyNumberFormat="1" applyFont="1" applyFill="1" applyBorder="1" applyAlignment="1" applyProtection="1">
      <alignment horizontal="center" vertical="center"/>
      <protection locked="0"/>
    </xf>
    <xf numFmtId="164" fontId="0" fillId="27" borderId="8" xfId="0" applyNumberFormat="1" applyFill="1" applyBorder="1" applyProtection="1">
      <protection hidden="1"/>
    </xf>
    <xf numFmtId="0" fontId="15" fillId="13" borderId="8" xfId="0" applyFont="1" applyFill="1" applyBorder="1" applyAlignment="1">
      <alignment horizontal="center"/>
    </xf>
    <xf numFmtId="0" fontId="0" fillId="13" borderId="16" xfId="0" applyFill="1" applyBorder="1" applyAlignment="1" applyProtection="1">
      <alignment horizontal="center" vertical="center"/>
      <protection hidden="1"/>
    </xf>
    <xf numFmtId="0" fontId="0" fillId="26" borderId="9" xfId="0" applyFill="1" applyBorder="1" applyAlignment="1" applyProtection="1">
      <alignment horizontal="center"/>
      <protection locked="0"/>
    </xf>
    <xf numFmtId="0" fontId="0" fillId="33" borderId="13" xfId="0" applyFill="1" applyBorder="1"/>
    <xf numFmtId="0" fontId="0" fillId="32" borderId="0" xfId="0" applyFill="1" applyAlignment="1">
      <alignment horizontal="center" vertical="center" wrapText="1"/>
    </xf>
    <xf numFmtId="0" fontId="0" fillId="33" borderId="9" xfId="0" applyFill="1" applyBorder="1" applyAlignment="1">
      <alignment horizontal="center"/>
    </xf>
    <xf numFmtId="0" fontId="0" fillId="32" borderId="20" xfId="0" applyFill="1" applyBorder="1"/>
    <xf numFmtId="0" fontId="0" fillId="32" borderId="5" xfId="0" applyFill="1" applyBorder="1"/>
    <xf numFmtId="0" fontId="0" fillId="32" borderId="5" xfId="0" applyFill="1" applyBorder="1" applyAlignment="1">
      <alignment horizontal="center"/>
    </xf>
    <xf numFmtId="0" fontId="0" fillId="32" borderId="21" xfId="0" applyFill="1" applyBorder="1"/>
    <xf numFmtId="0" fontId="0" fillId="32" borderId="37" xfId="0" applyFill="1" applyBorder="1" applyProtection="1">
      <protection hidden="1"/>
    </xf>
    <xf numFmtId="164" fontId="18" fillId="32" borderId="27" xfId="0" applyNumberFormat="1" applyFont="1" applyFill="1" applyBorder="1" applyAlignment="1" applyProtection="1">
      <alignment vertical="center"/>
      <protection hidden="1"/>
    </xf>
    <xf numFmtId="0" fontId="0" fillId="32" borderId="27" xfId="0" applyFill="1" applyBorder="1" applyProtection="1">
      <protection hidden="1"/>
    </xf>
    <xf numFmtId="2" fontId="0" fillId="32" borderId="27" xfId="0" applyNumberFormat="1" applyFill="1" applyBorder="1" applyProtection="1">
      <protection hidden="1"/>
    </xf>
    <xf numFmtId="0" fontId="0" fillId="32" borderId="28" xfId="0" applyFill="1" applyBorder="1" applyProtection="1">
      <protection hidden="1"/>
    </xf>
    <xf numFmtId="0" fontId="0" fillId="32" borderId="22" xfId="0" applyFill="1" applyBorder="1"/>
    <xf numFmtId="164" fontId="18" fillId="21" borderId="15" xfId="0" applyNumberFormat="1" applyFont="1" applyFill="1" applyBorder="1" applyAlignment="1" applyProtection="1">
      <alignment vertical="center"/>
      <protection hidden="1"/>
    </xf>
    <xf numFmtId="0" fontId="0" fillId="21" borderId="12" xfId="0" applyFill="1" applyBorder="1" applyProtection="1">
      <protection hidden="1"/>
    </xf>
    <xf numFmtId="2" fontId="0" fillId="21" borderId="12" xfId="0" applyNumberFormat="1" applyFill="1" applyBorder="1" applyProtection="1">
      <protection hidden="1"/>
    </xf>
    <xf numFmtId="0" fontId="0" fillId="21" borderId="8" xfId="0" applyFill="1" applyBorder="1" applyProtection="1">
      <protection hidden="1"/>
    </xf>
    <xf numFmtId="2" fontId="0" fillId="21" borderId="15" xfId="0" applyNumberFormat="1" applyFill="1" applyBorder="1" applyProtection="1">
      <protection hidden="1"/>
    </xf>
    <xf numFmtId="2" fontId="0" fillId="0" borderId="0" xfId="0" applyNumberFormat="1"/>
    <xf numFmtId="0" fontId="23" fillId="25" borderId="25" xfId="0" applyFont="1" applyFill="1" applyBorder="1" applyAlignment="1" applyProtection="1">
      <alignment vertical="center"/>
      <protection locked="0" hidden="1"/>
    </xf>
    <xf numFmtId="0" fontId="23" fillId="28" borderId="16" xfId="0" applyFont="1" applyFill="1" applyBorder="1" applyProtection="1">
      <protection locked="0" hidden="1"/>
    </xf>
    <xf numFmtId="0" fontId="23" fillId="31" borderId="16" xfId="0" applyFont="1" applyFill="1" applyBorder="1" applyProtection="1">
      <protection locked="0" hidden="1"/>
    </xf>
    <xf numFmtId="0" fontId="23" fillId="31" borderId="16" xfId="0" applyFont="1" applyFill="1" applyBorder="1" applyAlignment="1" applyProtection="1">
      <alignment horizontal="center" vertical="center"/>
      <protection locked="0" hidden="1"/>
    </xf>
    <xf numFmtId="0" fontId="23" fillId="9" borderId="38" xfId="0" applyFont="1" applyFill="1" applyBorder="1" applyAlignment="1" applyProtection="1">
      <alignment horizontal="center" vertical="center"/>
      <protection locked="0" hidden="1"/>
    </xf>
    <xf numFmtId="0" fontId="16" fillId="22" borderId="0" xfId="0" applyFont="1" applyFill="1" applyProtection="1">
      <protection locked="0"/>
    </xf>
    <xf numFmtId="14" fontId="15" fillId="22" borderId="0" xfId="0" applyNumberFormat="1" applyFont="1" applyFill="1"/>
    <xf numFmtId="0" fontId="9" fillId="4" borderId="9" xfId="0" applyFont="1" applyFill="1" applyBorder="1" applyProtection="1">
      <protection locked="0"/>
    </xf>
    <xf numFmtId="164" fontId="8" fillId="21" borderId="15" xfId="0" applyNumberFormat="1" applyFont="1" applyFill="1" applyBorder="1" applyAlignment="1" applyProtection="1">
      <alignment vertical="center"/>
      <protection locked="0" hidden="1"/>
    </xf>
    <xf numFmtId="0" fontId="9" fillId="21" borderId="12" xfId="0" applyFont="1" applyFill="1" applyBorder="1" applyProtection="1">
      <protection locked="0" hidden="1"/>
    </xf>
    <xf numFmtId="0" fontId="9" fillId="21" borderId="8" xfId="0" applyFont="1" applyFill="1" applyBorder="1" applyProtection="1">
      <protection locked="0" hidden="1"/>
    </xf>
    <xf numFmtId="0" fontId="9" fillId="21" borderId="15" xfId="0" applyFont="1" applyFill="1" applyBorder="1" applyProtection="1">
      <protection locked="0" hidden="1"/>
    </xf>
    <xf numFmtId="0" fontId="9" fillId="9" borderId="6" xfId="0" applyFont="1" applyFill="1" applyBorder="1" applyProtection="1">
      <protection locked="0" hidden="1"/>
    </xf>
    <xf numFmtId="0" fontId="26" fillId="0" borderId="0" xfId="0" applyFont="1"/>
    <xf numFmtId="0" fontId="26" fillId="21" borderId="0" xfId="0" applyFont="1" applyFill="1" applyProtection="1">
      <protection hidden="1"/>
    </xf>
    <xf numFmtId="2" fontId="27" fillId="0" borderId="3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14" fontId="1" fillId="0" borderId="0" xfId="0" applyNumberFormat="1" applyFont="1"/>
    <xf numFmtId="14" fontId="1" fillId="0" borderId="0" xfId="0" applyNumberFormat="1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4" fontId="29" fillId="0" borderId="0" xfId="0" applyNumberFormat="1" applyFont="1"/>
    <xf numFmtId="2" fontId="23" fillId="25" borderId="16" xfId="0" applyNumberFormat="1" applyFont="1" applyFill="1" applyBorder="1" applyAlignment="1">
      <alignment horizontal="center" vertical="center"/>
    </xf>
    <xf numFmtId="0" fontId="23" fillId="28" borderId="16" xfId="0" applyFont="1" applyFill="1" applyBorder="1" applyAlignment="1">
      <alignment horizontal="center" vertical="center"/>
    </xf>
    <xf numFmtId="2" fontId="23" fillId="30" borderId="16" xfId="0" applyNumberFormat="1" applyFont="1" applyFill="1" applyBorder="1" applyAlignment="1">
      <alignment horizontal="center" vertical="center"/>
    </xf>
    <xf numFmtId="0" fontId="23" fillId="9" borderId="1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9" fillId="10" borderId="16" xfId="0" applyFont="1" applyFill="1" applyBorder="1" applyAlignment="1">
      <alignment horizontal="center"/>
    </xf>
    <xf numFmtId="2" fontId="9" fillId="11" borderId="16" xfId="0" applyNumberFormat="1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170" fontId="31" fillId="0" borderId="0" xfId="0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164" fontId="18" fillId="24" borderId="35" xfId="0" applyNumberFormat="1" applyFont="1" applyFill="1" applyBorder="1" applyAlignment="1">
      <alignment vertical="center"/>
    </xf>
    <xf numFmtId="0" fontId="36" fillId="0" borderId="0" xfId="0" applyFont="1"/>
    <xf numFmtId="2" fontId="31" fillId="0" borderId="0" xfId="0" applyNumberFormat="1" applyFont="1"/>
    <xf numFmtId="0" fontId="37" fillId="0" borderId="0" xfId="0" applyFont="1"/>
    <xf numFmtId="0" fontId="2" fillId="1" borderId="4" xfId="0" applyFont="1" applyFill="1" applyBorder="1" applyAlignment="1" applyProtection="1">
      <alignment vertical="center"/>
      <protection hidden="1"/>
    </xf>
    <xf numFmtId="0" fontId="2" fillId="1" borderId="0" xfId="0" applyFont="1" applyFill="1" applyAlignment="1" applyProtection="1">
      <alignment vertical="center"/>
      <protection hidden="1"/>
    </xf>
    <xf numFmtId="0" fontId="1" fillId="1" borderId="0" xfId="0" applyFont="1" applyFill="1" applyAlignment="1" applyProtection="1">
      <alignment horizontal="center"/>
      <protection hidden="1"/>
    </xf>
    <xf numFmtId="0" fontId="2" fillId="1" borderId="26" xfId="0" applyFont="1" applyFill="1" applyBorder="1" applyAlignment="1" applyProtection="1">
      <alignment vertical="center"/>
      <protection hidden="1"/>
    </xf>
    <xf numFmtId="0" fontId="2" fillId="1" borderId="27" xfId="0" applyFont="1" applyFill="1" applyBorder="1" applyAlignment="1" applyProtection="1">
      <alignment vertical="center"/>
      <protection hidden="1"/>
    </xf>
    <xf numFmtId="0" fontId="1" fillId="1" borderId="27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8" fillId="32" borderId="26" xfId="0" applyFont="1" applyFill="1" applyBorder="1" applyAlignment="1" applyProtection="1">
      <alignment vertical="center"/>
      <protection hidden="1"/>
    </xf>
    <xf numFmtId="0" fontId="18" fillId="32" borderId="27" xfId="0" applyFont="1" applyFill="1" applyBorder="1" applyAlignment="1" applyProtection="1">
      <alignment vertical="center"/>
      <protection hidden="1"/>
    </xf>
    <xf numFmtId="0" fontId="0" fillId="32" borderId="27" xfId="0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5" fontId="2" fillId="0" borderId="3" xfId="0" applyNumberFormat="1" applyFont="1" applyBorder="1" applyAlignment="1" applyProtection="1">
      <alignment horizontal="center" vertical="center"/>
      <protection hidden="1"/>
    </xf>
    <xf numFmtId="169" fontId="0" fillId="0" borderId="0" xfId="0" applyNumberFormat="1" applyAlignment="1" applyProtection="1">
      <alignment horizontal="left"/>
      <protection hidden="1"/>
    </xf>
    <xf numFmtId="167" fontId="2" fillId="0" borderId="3" xfId="0" applyNumberFormat="1" applyFont="1" applyBorder="1" applyAlignment="1" applyProtection="1">
      <alignment vertical="center"/>
      <protection hidden="1"/>
    </xf>
    <xf numFmtId="168" fontId="0" fillId="0" borderId="0" xfId="0" applyNumberFormat="1" applyAlignment="1" applyProtection="1">
      <alignment horizontal="left"/>
      <protection hidden="1"/>
    </xf>
    <xf numFmtId="14" fontId="0" fillId="0" borderId="0" xfId="0" applyNumberFormat="1"/>
    <xf numFmtId="0" fontId="23" fillId="0" borderId="0" xfId="0" applyFont="1" applyProtection="1">
      <protection hidden="1"/>
    </xf>
    <xf numFmtId="0" fontId="23" fillId="0" borderId="0" xfId="0" applyFont="1" applyAlignment="1" applyProtection="1">
      <alignment vertical="center"/>
      <protection hidden="1"/>
    </xf>
    <xf numFmtId="164" fontId="23" fillId="0" borderId="0" xfId="0" applyNumberFormat="1" applyFont="1" applyAlignment="1" applyProtection="1">
      <alignment vertical="center"/>
      <protection hidden="1"/>
    </xf>
    <xf numFmtId="0" fontId="1" fillId="0" borderId="41" xfId="0" applyFont="1" applyBorder="1" applyProtection="1">
      <protection hidden="1"/>
    </xf>
    <xf numFmtId="0" fontId="18" fillId="0" borderId="0" xfId="0" applyFont="1" applyAlignment="1" applyProtection="1">
      <alignment horizontal="right" vertical="center"/>
      <protection locked="0"/>
    </xf>
    <xf numFmtId="0" fontId="15" fillId="0" borderId="0" xfId="0" applyFont="1"/>
    <xf numFmtId="0" fontId="15" fillId="0" borderId="0" xfId="0" applyFont="1" applyAlignment="1">
      <alignment horizontal="left"/>
    </xf>
    <xf numFmtId="2" fontId="9" fillId="20" borderId="3" xfId="0" applyNumberFormat="1" applyFont="1" applyFill="1" applyBorder="1" applyProtection="1">
      <protection hidden="1"/>
    </xf>
    <xf numFmtId="0" fontId="0" fillId="37" borderId="22" xfId="0" applyFill="1" applyBorder="1" applyAlignment="1">
      <alignment horizontal="center" vertical="center" wrapText="1"/>
    </xf>
    <xf numFmtId="0" fontId="15" fillId="27" borderId="8" xfId="0" applyFont="1" applyFill="1" applyBorder="1" applyAlignment="1">
      <alignment horizontal="center" wrapText="1"/>
    </xf>
    <xf numFmtId="0" fontId="15" fillId="27" borderId="10" xfId="0" applyFont="1" applyFill="1" applyBorder="1" applyAlignment="1">
      <alignment horizontal="center" wrapText="1"/>
    </xf>
    <xf numFmtId="0" fontId="15" fillId="13" borderId="3" xfId="0" applyFont="1" applyFill="1" applyBorder="1" applyAlignment="1">
      <alignment horizontal="center" wrapText="1"/>
    </xf>
    <xf numFmtId="0" fontId="0" fillId="32" borderId="4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wrapText="1"/>
    </xf>
    <xf numFmtId="0" fontId="0" fillId="33" borderId="8" xfId="0" applyFill="1" applyBorder="1" applyAlignment="1">
      <alignment horizontal="center" wrapText="1"/>
    </xf>
    <xf numFmtId="0" fontId="0" fillId="33" borderId="14" xfId="0" applyFill="1" applyBorder="1" applyAlignment="1">
      <alignment horizontal="center" vertical="center" wrapText="1"/>
    </xf>
    <xf numFmtId="0" fontId="0" fillId="32" borderId="0" xfId="0" applyFill="1" applyAlignment="1">
      <alignment horizontal="center" vertical="center"/>
    </xf>
    <xf numFmtId="0" fontId="0" fillId="34" borderId="0" xfId="0" applyFill="1" applyAlignment="1">
      <alignment horizontal="center" vertical="center" wrapText="1"/>
    </xf>
    <xf numFmtId="0" fontId="0" fillId="32" borderId="4" xfId="0" applyFill="1" applyBorder="1" applyAlignment="1">
      <alignment horizontal="center"/>
    </xf>
    <xf numFmtId="0" fontId="0" fillId="32" borderId="0" xfId="0" applyFill="1" applyAlignment="1">
      <alignment horizontal="center"/>
    </xf>
    <xf numFmtId="0" fontId="38" fillId="38" borderId="40" xfId="0" applyFont="1" applyFill="1" applyBorder="1" applyAlignment="1" applyProtection="1">
      <alignment horizontal="center" vertical="center"/>
      <protection locked="0"/>
    </xf>
    <xf numFmtId="0" fontId="38" fillId="38" borderId="6" xfId="0" applyFont="1" applyFill="1" applyBorder="1" applyAlignment="1" applyProtection="1">
      <alignment horizontal="center" vertical="center"/>
      <protection locked="0"/>
    </xf>
    <xf numFmtId="0" fontId="38" fillId="38" borderId="7" xfId="0" applyFont="1" applyFill="1" applyBorder="1" applyAlignment="1" applyProtection="1">
      <alignment horizontal="center" vertical="center"/>
      <protection locked="0"/>
    </xf>
    <xf numFmtId="2" fontId="23" fillId="31" borderId="18" xfId="0" applyNumberFormat="1" applyFont="1" applyFill="1" applyBorder="1" applyAlignment="1">
      <alignment horizontal="center" vertical="center"/>
    </xf>
    <xf numFmtId="2" fontId="23" fillId="31" borderId="19" xfId="0" applyNumberFormat="1" applyFont="1" applyFill="1" applyBorder="1" applyAlignment="1">
      <alignment horizontal="center" vertical="center"/>
    </xf>
    <xf numFmtId="2" fontId="24" fillId="14" borderId="31" xfId="0" applyNumberFormat="1" applyFont="1" applyFill="1" applyBorder="1" applyAlignment="1">
      <alignment horizontal="center" vertical="center"/>
    </xf>
    <xf numFmtId="0" fontId="24" fillId="14" borderId="32" xfId="0" applyFont="1" applyFill="1" applyBorder="1" applyAlignment="1">
      <alignment horizontal="center" vertical="center"/>
    </xf>
    <xf numFmtId="0" fontId="24" fillId="14" borderId="33" xfId="0" applyFont="1" applyFill="1" applyBorder="1" applyAlignment="1">
      <alignment horizontal="center" vertical="center"/>
    </xf>
    <xf numFmtId="0" fontId="24" fillId="14" borderId="34" xfId="0" applyFont="1" applyFill="1" applyBorder="1" applyAlignment="1">
      <alignment horizontal="center" vertical="center"/>
    </xf>
    <xf numFmtId="0" fontId="0" fillId="36" borderId="11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2" borderId="0" xfId="0" applyFill="1" applyAlignment="1">
      <alignment horizontal="center" vertical="center" wrapText="1"/>
    </xf>
    <xf numFmtId="0" fontId="0" fillId="35" borderId="0" xfId="0" applyFill="1" applyAlignment="1">
      <alignment horizontal="center" vertical="center" wrapText="1"/>
    </xf>
    <xf numFmtId="0" fontId="0" fillId="36" borderId="14" xfId="0" applyFill="1" applyBorder="1" applyAlignment="1">
      <alignment horizontal="center" vertical="center" wrapText="1"/>
    </xf>
    <xf numFmtId="0" fontId="0" fillId="32" borderId="2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8" fillId="0" borderId="45" xfId="0" applyFont="1" applyBorder="1" applyAlignment="1" applyProtection="1">
      <alignment horizontal="center"/>
      <protection hidden="1"/>
    </xf>
    <xf numFmtId="0" fontId="38" fillId="0" borderId="46" xfId="0" applyFont="1" applyBorder="1" applyAlignment="1" applyProtection="1">
      <alignment horizontal="center"/>
      <protection hidden="1"/>
    </xf>
    <xf numFmtId="0" fontId="38" fillId="0" borderId="47" xfId="0" applyFont="1" applyBorder="1" applyAlignment="1" applyProtection="1">
      <alignment horizontal="center"/>
      <protection hidden="1"/>
    </xf>
    <xf numFmtId="0" fontId="23" fillId="0" borderId="42" xfId="0" applyFont="1" applyBorder="1" applyAlignment="1" applyProtection="1">
      <alignment horizontal="center" vertical="center"/>
      <protection hidden="1"/>
    </xf>
    <xf numFmtId="0" fontId="23" fillId="0" borderId="43" xfId="0" applyFont="1" applyBorder="1" applyAlignment="1" applyProtection="1">
      <alignment horizontal="center" vertical="center"/>
      <protection hidden="1"/>
    </xf>
    <xf numFmtId="0" fontId="23" fillId="0" borderId="44" xfId="0" applyFont="1" applyBorder="1" applyAlignment="1" applyProtection="1">
      <alignment horizontal="center" vertical="center"/>
      <protection hidden="1"/>
    </xf>
    <xf numFmtId="0" fontId="25" fillId="23" borderId="0" xfId="0" applyFont="1" applyFill="1" applyAlignment="1" applyProtection="1">
      <alignment horizontal="center" vertical="center"/>
      <protection hidden="1"/>
    </xf>
    <xf numFmtId="0" fontId="39" fillId="0" borderId="45" xfId="0" applyFont="1" applyBorder="1" applyAlignment="1" applyProtection="1">
      <alignment horizontal="center"/>
      <protection hidden="1"/>
    </xf>
    <xf numFmtId="0" fontId="39" fillId="0" borderId="46" xfId="0" applyFont="1" applyBorder="1" applyAlignment="1" applyProtection="1">
      <alignment horizontal="center"/>
      <protection hidden="1"/>
    </xf>
    <xf numFmtId="0" fontId="39" fillId="0" borderId="47" xfId="0" applyFont="1" applyBorder="1" applyAlignment="1" applyProtection="1">
      <alignment horizontal="center"/>
      <protection hidden="1"/>
    </xf>
    <xf numFmtId="0" fontId="1" fillId="1" borderId="24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wrapText="1"/>
    </xf>
    <xf numFmtId="0" fontId="1" fillId="15" borderId="8" xfId="0" applyFont="1" applyFill="1" applyBorder="1" applyAlignment="1">
      <alignment horizontal="center" wrapText="1"/>
    </xf>
    <xf numFmtId="0" fontId="1" fillId="15" borderId="14" xfId="0" applyFont="1" applyFill="1" applyBorder="1" applyAlignment="1">
      <alignment horizontal="center" vertical="center" wrapText="1"/>
    </xf>
    <xf numFmtId="0" fontId="16" fillId="23" borderId="0" xfId="0" applyFont="1" applyFill="1" applyAlignment="1">
      <alignment horizontal="center"/>
    </xf>
    <xf numFmtId="0" fontId="3" fillId="8" borderId="3" xfId="0" applyFont="1" applyFill="1" applyBorder="1" applyAlignment="1">
      <alignment horizontal="center" wrapText="1"/>
    </xf>
    <xf numFmtId="0" fontId="1" fillId="1" borderId="0" xfId="0" applyFont="1" applyFill="1" applyAlignment="1">
      <alignment horizontal="center" vertical="center" wrapText="1"/>
    </xf>
    <xf numFmtId="0" fontId="1" fillId="17" borderId="0" xfId="0" applyFont="1" applyFill="1" applyAlignment="1">
      <alignment horizontal="center" vertical="center" wrapText="1"/>
    </xf>
    <xf numFmtId="0" fontId="1" fillId="19" borderId="15" xfId="0" applyFont="1" applyFill="1" applyBorder="1" applyAlignment="1">
      <alignment horizontal="center"/>
    </xf>
    <xf numFmtId="0" fontId="1" fillId="19" borderId="6" xfId="0" applyFont="1" applyFill="1" applyBorder="1" applyAlignment="1">
      <alignment horizontal="center"/>
    </xf>
    <xf numFmtId="0" fontId="1" fillId="19" borderId="12" xfId="0" applyFont="1" applyFill="1" applyBorder="1" applyAlignment="1">
      <alignment horizontal="center"/>
    </xf>
    <xf numFmtId="0" fontId="1" fillId="19" borderId="29" xfId="0" applyFont="1" applyFill="1" applyBorder="1" applyAlignment="1">
      <alignment horizontal="center"/>
    </xf>
    <xf numFmtId="0" fontId="1" fillId="18" borderId="9" xfId="0" applyFont="1" applyFill="1" applyBorder="1" applyAlignment="1">
      <alignment horizontal="center" vertical="center" wrapText="1"/>
    </xf>
    <xf numFmtId="0" fontId="1" fillId="18" borderId="11" xfId="0" applyFont="1" applyFill="1" applyBorder="1" applyAlignment="1">
      <alignment horizontal="center" vertical="center" wrapText="1"/>
    </xf>
    <xf numFmtId="0" fontId="1" fillId="18" borderId="8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15" xfId="0" applyFont="1" applyFill="1" applyBorder="1" applyAlignment="1">
      <alignment horizontal="center" vertical="center" wrapText="1"/>
    </xf>
    <xf numFmtId="0" fontId="1" fillId="18" borderId="14" xfId="0" applyFont="1" applyFill="1" applyBorder="1" applyAlignment="1">
      <alignment horizontal="center" vertical="center" wrapText="1"/>
    </xf>
    <xf numFmtId="0" fontId="1" fillId="1" borderId="0" xfId="0" applyFont="1" applyFill="1" applyAlignment="1">
      <alignment horizontal="center" vertical="center"/>
    </xf>
    <xf numFmtId="0" fontId="1" fillId="39" borderId="12" xfId="0" applyFont="1" applyFill="1" applyBorder="1" applyAlignment="1">
      <alignment horizontal="center" vertical="center" wrapText="1"/>
    </xf>
    <xf numFmtId="0" fontId="1" fillId="39" borderId="17" xfId="0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" fillId="18" borderId="15" xfId="0" applyFont="1" applyFill="1" applyBorder="1" applyAlignment="1">
      <alignment horizontal="center"/>
    </xf>
    <xf numFmtId="0" fontId="1" fillId="18" borderId="12" xfId="0" applyFont="1" applyFill="1" applyBorder="1" applyAlignment="1">
      <alignment horizontal="center"/>
    </xf>
    <xf numFmtId="0" fontId="1" fillId="18" borderId="6" xfId="0" applyFont="1" applyFill="1" applyBorder="1" applyAlignment="1">
      <alignment horizontal="center"/>
    </xf>
    <xf numFmtId="0" fontId="1" fillId="18" borderId="7" xfId="0" applyFont="1" applyFill="1" applyBorder="1" applyAlignment="1">
      <alignment horizontal="center"/>
    </xf>
    <xf numFmtId="0" fontId="9" fillId="38" borderId="40" xfId="0" applyFont="1" applyFill="1" applyBorder="1" applyAlignment="1" applyProtection="1">
      <alignment horizontal="center" vertical="center"/>
      <protection locked="0"/>
    </xf>
    <xf numFmtId="0" fontId="9" fillId="38" borderId="6" xfId="0" applyFont="1" applyFill="1" applyBorder="1" applyAlignment="1" applyProtection="1">
      <alignment horizontal="center" vertical="center"/>
      <protection locked="0"/>
    </xf>
    <xf numFmtId="0" fontId="9" fillId="38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16" borderId="12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3" fillId="7" borderId="9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wrapText="1"/>
    </xf>
    <xf numFmtId="0" fontId="9" fillId="12" borderId="18" xfId="0" applyFont="1" applyFill="1" applyBorder="1" applyAlignment="1" applyProtection="1">
      <alignment horizontal="center"/>
      <protection locked="0" hidden="1"/>
    </xf>
    <xf numFmtId="0" fontId="9" fillId="12" borderId="30" xfId="0" applyFont="1" applyFill="1" applyBorder="1" applyAlignment="1" applyProtection="1">
      <alignment horizontal="center"/>
      <protection locked="0" hidden="1"/>
    </xf>
    <xf numFmtId="2" fontId="14" fillId="14" borderId="31" xfId="0" applyNumberFormat="1" applyFont="1" applyFill="1" applyBorder="1" applyAlignment="1">
      <alignment horizontal="center" vertical="center"/>
    </xf>
    <xf numFmtId="2" fontId="14" fillId="14" borderId="32" xfId="0" applyNumberFormat="1" applyFont="1" applyFill="1" applyBorder="1" applyAlignment="1">
      <alignment horizontal="center" vertical="center"/>
    </xf>
    <xf numFmtId="2" fontId="14" fillId="14" borderId="33" xfId="0" applyNumberFormat="1" applyFont="1" applyFill="1" applyBorder="1" applyAlignment="1">
      <alignment horizontal="center" vertical="center"/>
    </xf>
    <xf numFmtId="2" fontId="14" fillId="14" borderId="34" xfId="0" applyNumberFormat="1" applyFont="1" applyFill="1" applyBorder="1" applyAlignment="1">
      <alignment horizontal="center" vertical="center"/>
    </xf>
    <xf numFmtId="2" fontId="9" fillId="12" borderId="18" xfId="0" applyNumberFormat="1" applyFont="1" applyFill="1" applyBorder="1" applyAlignment="1">
      <alignment horizontal="center"/>
    </xf>
    <xf numFmtId="2" fontId="9" fillId="12" borderId="19" xfId="0" applyNumberFormat="1" applyFont="1" applyFill="1" applyBorder="1" applyAlignment="1">
      <alignment horizontal="center"/>
    </xf>
    <xf numFmtId="0" fontId="1" fillId="1" borderId="5" xfId="0" applyFont="1" applyFill="1" applyBorder="1" applyAlignment="1">
      <alignment horizontal="center"/>
    </xf>
    <xf numFmtId="0" fontId="1" fillId="15" borderId="23" xfId="0" applyFont="1" applyFill="1" applyBorder="1" applyAlignment="1">
      <alignment horizontal="center"/>
    </xf>
    <xf numFmtId="0" fontId="1" fillId="15" borderId="12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7" xfId="0" applyFont="1" applyFill="1" applyBorder="1" applyAlignment="1">
      <alignment horizontal="center"/>
    </xf>
    <xf numFmtId="0" fontId="1" fillId="16" borderId="15" xfId="0" applyFont="1" applyFill="1" applyBorder="1" applyAlignment="1">
      <alignment horizontal="center"/>
    </xf>
    <xf numFmtId="0" fontId="1" fillId="16" borderId="7" xfId="0" applyFont="1" applyFill="1" applyBorder="1" applyAlignment="1">
      <alignment horizontal="center"/>
    </xf>
    <xf numFmtId="2" fontId="8" fillId="4" borderId="18" xfId="0" applyNumberFormat="1" applyFont="1" applyFill="1" applyBorder="1" applyAlignment="1">
      <alignment horizontal="center" vertical="center"/>
    </xf>
    <xf numFmtId="2" fontId="8" fillId="4" borderId="19" xfId="0" applyNumberFormat="1" applyFont="1" applyFill="1" applyBorder="1" applyAlignment="1">
      <alignment horizontal="center" vertical="center"/>
    </xf>
    <xf numFmtId="2" fontId="9" fillId="5" borderId="18" xfId="0" applyNumberFormat="1" applyFont="1" applyFill="1" applyBorder="1" applyAlignment="1">
      <alignment horizontal="center"/>
    </xf>
    <xf numFmtId="2" fontId="9" fillId="5" borderId="19" xfId="0" applyNumberFormat="1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1" fillId="19" borderId="12" xfId="0" applyFont="1" applyFill="1" applyBorder="1" applyAlignment="1">
      <alignment horizontal="center" vertical="center" wrapText="1"/>
    </xf>
    <xf numFmtId="0" fontId="1" fillId="19" borderId="17" xfId="0" applyFont="1" applyFill="1" applyBorder="1" applyAlignment="1">
      <alignment horizontal="center" vertical="center" wrapText="1"/>
    </xf>
    <xf numFmtId="0" fontId="16" fillId="23" borderId="0" xfId="0" applyFont="1" applyFill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/>
      <protection hidden="1"/>
    </xf>
    <xf numFmtId="0" fontId="9" fillId="0" borderId="46" xfId="0" applyFont="1" applyBorder="1" applyAlignment="1" applyProtection="1">
      <alignment horizontal="center"/>
      <protection hidden="1"/>
    </xf>
    <xf numFmtId="0" fontId="9" fillId="0" borderId="47" xfId="0" applyFont="1" applyBorder="1" applyAlignment="1" applyProtection="1">
      <alignment horizontal="center"/>
      <protection hidden="1"/>
    </xf>
    <xf numFmtId="2" fontId="8" fillId="4" borderId="18" xfId="0" applyNumberFormat="1" applyFont="1" applyFill="1" applyBorder="1" applyAlignment="1" applyProtection="1">
      <alignment horizontal="center" vertical="center"/>
      <protection locked="0"/>
    </xf>
    <xf numFmtId="2" fontId="8" fillId="4" borderId="19" xfId="0" applyNumberFormat="1" applyFont="1" applyFill="1" applyBorder="1" applyAlignment="1" applyProtection="1">
      <alignment horizontal="center" vertical="center"/>
      <protection locked="0"/>
    </xf>
    <xf numFmtId="2" fontId="9" fillId="5" borderId="18" xfId="0" applyNumberFormat="1" applyFont="1" applyFill="1" applyBorder="1" applyAlignment="1" applyProtection="1">
      <alignment horizontal="center"/>
      <protection locked="0"/>
    </xf>
    <xf numFmtId="2" fontId="9" fillId="5" borderId="19" xfId="0" applyNumberFormat="1" applyFont="1" applyFill="1" applyBorder="1" applyAlignment="1" applyProtection="1">
      <alignment horizontal="center"/>
      <protection locked="0"/>
    </xf>
    <xf numFmtId="0" fontId="9" fillId="6" borderId="18" xfId="0" applyFont="1" applyFill="1" applyBorder="1" applyAlignment="1" applyProtection="1">
      <alignment horizontal="center"/>
      <protection locked="0"/>
    </xf>
    <xf numFmtId="0" fontId="9" fillId="6" borderId="19" xfId="0" applyFont="1" applyFill="1" applyBorder="1" applyAlignment="1" applyProtection="1">
      <alignment horizontal="center"/>
      <protection locked="0"/>
    </xf>
    <xf numFmtId="2" fontId="9" fillId="12" borderId="18" xfId="0" applyNumberFormat="1" applyFont="1" applyFill="1" applyBorder="1" applyAlignment="1" applyProtection="1">
      <alignment horizontal="center"/>
      <protection hidden="1"/>
    </xf>
    <xf numFmtId="2" fontId="9" fillId="12" borderId="19" xfId="0" applyNumberFormat="1" applyFont="1" applyFill="1" applyBorder="1" applyAlignment="1" applyProtection="1">
      <alignment horizontal="center"/>
      <protection hidden="1"/>
    </xf>
  </cellXfs>
  <cellStyles count="2">
    <cellStyle name="Monétaire" xfId="1" builtinId="4"/>
    <cellStyle name="Normal" xfId="0" builtinId="0"/>
  </cellStyles>
  <dxfs count="3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D966"/>
      <color rgb="FFA6A6A6"/>
      <color rgb="FFBBA791"/>
      <color rgb="FF9E7962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toiture!A1"/><Relationship Id="rId7" Type="http://schemas.openxmlformats.org/officeDocument/2006/relationships/image" Target="../media/image4.png"/><Relationship Id="rId2" Type="http://schemas.openxmlformats.org/officeDocument/2006/relationships/hyperlink" Target="#INTERMEDIAIRE!A1"/><Relationship Id="rId1" Type="http://schemas.openxmlformats.org/officeDocument/2006/relationships/hyperlink" Target="#vs!A1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ac-gf.fr/planchers-poutrelles-seacoustic-seacoustic-vs.pdt56.p348.php#Descriptif-seacoustic-vs" TargetMode="External"/><Relationship Id="rId2" Type="http://schemas.openxmlformats.org/officeDocument/2006/relationships/hyperlink" Target="#ACCEUIL!A1"/><Relationship Id="rId1" Type="http://schemas.openxmlformats.org/officeDocument/2006/relationships/image" Target="../media/image5.png"/><Relationship Id="rId6" Type="http://schemas.openxmlformats.org/officeDocument/2006/relationships/image" Target="../media/image7.png"/><Relationship Id="rId5" Type="http://schemas.openxmlformats.org/officeDocument/2006/relationships/hyperlink" Target="https://www.seac-gf.fr/planchers-poutrelles-seacoustic-seacoustic-vs.pdt56.p348.php#descriptif%20ebs" TargetMode="External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hyperlink" Target="https://www.seac-gf.fr/planchers-poutrelles-seacoustic-seacoustic-2.pdt56.p325.php#Descriptif" TargetMode="External"/><Relationship Id="rId7" Type="http://schemas.openxmlformats.org/officeDocument/2006/relationships/hyperlink" Target="https://www.seac-gf.fr/planchers-poutrelles-seacoustic-seacoustic-1.pdt56.p324.php#Descriptif" TargetMode="External"/><Relationship Id="rId2" Type="http://schemas.openxmlformats.org/officeDocument/2006/relationships/image" Target="../media/image8.png"/><Relationship Id="rId1" Type="http://schemas.openxmlformats.org/officeDocument/2006/relationships/hyperlink" Target="#ACCEUIL!A1"/><Relationship Id="rId6" Type="http://schemas.openxmlformats.org/officeDocument/2006/relationships/image" Target="../media/image10.png"/><Relationship Id="rId5" Type="http://schemas.openxmlformats.org/officeDocument/2006/relationships/hyperlink" Target="https://www.seac-gf.fr/planchers-poutrelles-seacoustic-seacoustic-3.pdt56.p326.php#Descriptif" TargetMode="External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ac-gf.fr/planchers-poutrelles-toiture-terrasse-descriptif-toiture-terrasse-ebs.pdt43.p374.php" TargetMode="External"/><Relationship Id="rId2" Type="http://schemas.openxmlformats.org/officeDocument/2006/relationships/image" Target="../media/image8.png"/><Relationship Id="rId1" Type="http://schemas.openxmlformats.org/officeDocument/2006/relationships/hyperlink" Target="#ACCEUIL!A1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vs!A1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#vs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5" Type="http://schemas.openxmlformats.org/officeDocument/2006/relationships/hyperlink" Target="#INTERMEDIAIRE!A1"/><Relationship Id="rId4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TERMEDIAIRE!A1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toiture!A1"/><Relationship Id="rId2" Type="http://schemas.openxmlformats.org/officeDocument/2006/relationships/image" Target="../media/image14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341907</xdr:colOff>
      <xdr:row>5</xdr:row>
      <xdr:rowOff>7951</xdr:rowOff>
    </xdr:from>
    <xdr:ext cx="7039709" cy="161140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F0E009-ADA2-47D8-A6D2-F0EFFF3E5D45}"/>
            </a:ext>
          </a:extLst>
        </xdr:cNvPr>
        <xdr:cNvSpPr/>
      </xdr:nvSpPr>
      <xdr:spPr>
        <a:xfrm>
          <a:off x="1995778" y="962108"/>
          <a:ext cx="7039709" cy="1611403"/>
        </a:xfrm>
        <a:prstGeom prst="rect">
          <a:avLst/>
        </a:prstGeom>
        <a:noFill/>
        <a:effectLst>
          <a:outerShdw blurRad="50800" dist="12700" dir="5400000" algn="ctr" rotWithShape="0">
            <a:schemeClr val="tx1"/>
          </a:outerShdw>
        </a:effectLst>
        <a:scene3d>
          <a:camera prst="obliqueTopRight"/>
          <a:lightRig rig="threePt" dir="t"/>
        </a:scene3d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82550" h="38100" prst="relaxedInset"/>
          </a:sp3d>
        </a:bodyPr>
        <a:lstStyle/>
        <a:p>
          <a:pPr algn="ctr"/>
          <a:r>
            <a:rPr lang="fr-FR" sz="2800" b="1" i="0" cap="none" spc="0" baseline="0">
              <a:ln/>
              <a:solidFill>
                <a:srgbClr val="00B05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CALCUL DES VALEURS  ENVIRONNEMENTALES </a:t>
          </a:r>
        </a:p>
        <a:p>
          <a:pPr algn="ctr"/>
          <a:r>
            <a:rPr lang="fr-FR" sz="2800" b="1" i="0" cap="none" spc="0" baseline="0">
              <a:ln/>
              <a:solidFill>
                <a:srgbClr val="00B05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 DES PLANCHERS SEACOUSTIC</a:t>
          </a:r>
          <a:endParaRPr lang="fr-FR" sz="2800" b="1" i="0" cap="none" spc="0">
            <a:ln/>
            <a:solidFill>
              <a:srgbClr val="00B050"/>
            </a:solidFill>
            <a:effectLst/>
            <a:latin typeface="Arial Black" panose="020B0A040201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492980</xdr:colOff>
      <xdr:row>22</xdr:row>
      <xdr:rowOff>15903</xdr:rowOff>
    </xdr:from>
    <xdr:to>
      <xdr:col>3</xdr:col>
      <xdr:colOff>826934</xdr:colOff>
      <xdr:row>24</xdr:row>
      <xdr:rowOff>9015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9C863F-81F3-4A29-B3FB-F7F89DE4C6A5}"/>
            </a:ext>
          </a:extLst>
        </xdr:cNvPr>
        <xdr:cNvSpPr/>
      </xdr:nvSpPr>
      <xdr:spPr>
        <a:xfrm>
          <a:off x="1319916" y="4214192"/>
          <a:ext cx="1987825" cy="374774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SEACOUSTIC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VS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5</xdr:col>
      <xdr:colOff>319377</xdr:colOff>
      <xdr:row>22</xdr:row>
      <xdr:rowOff>1326</xdr:rowOff>
    </xdr:from>
    <xdr:to>
      <xdr:col>7</xdr:col>
      <xdr:colOff>653330</xdr:colOff>
      <xdr:row>23</xdr:row>
      <xdr:rowOff>188495</xdr:rowOff>
    </xdr:to>
    <xdr:sp macro="" textlink="">
      <xdr:nvSpPr>
        <xdr:cNvPr id="4" name="Rectangle : coins arrondi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701EF-04AF-4FCD-B57B-F01ABFA1AB73}"/>
            </a:ext>
          </a:extLst>
        </xdr:cNvPr>
        <xdr:cNvSpPr/>
      </xdr:nvSpPr>
      <xdr:spPr>
        <a:xfrm>
          <a:off x="4454055" y="4199615"/>
          <a:ext cx="1987825" cy="378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SEACOUSTIC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D'ETAGES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9</xdr:col>
      <xdr:colOff>225287</xdr:colOff>
      <xdr:row>21</xdr:row>
      <xdr:rowOff>169627</xdr:rowOff>
    </xdr:from>
    <xdr:to>
      <xdr:col>11</xdr:col>
      <xdr:colOff>559241</xdr:colOff>
      <xdr:row>23</xdr:row>
      <xdr:rowOff>162738</xdr:rowOff>
    </xdr:to>
    <xdr:sp macro="" textlink="">
      <xdr:nvSpPr>
        <xdr:cNvPr id="5" name="Rectangle : coins arrondi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465F7F-0FC2-4AC9-BB1E-D64E34371D30}"/>
            </a:ext>
          </a:extLst>
        </xdr:cNvPr>
        <xdr:cNvSpPr/>
      </xdr:nvSpPr>
      <xdr:spPr>
        <a:xfrm>
          <a:off x="7667708" y="4177084"/>
          <a:ext cx="1987825" cy="374774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TOITURE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TERRASSE</a:t>
          </a:r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 </a:t>
          </a:r>
        </a:p>
      </xdr:txBody>
    </xdr:sp>
    <xdr:clientData/>
  </xdr:twoCellAnchor>
  <xdr:twoCellAnchor editAs="oneCell">
    <xdr:from>
      <xdr:col>0</xdr:col>
      <xdr:colOff>214685</xdr:colOff>
      <xdr:row>0</xdr:row>
      <xdr:rowOff>174929</xdr:rowOff>
    </xdr:from>
    <xdr:to>
      <xdr:col>2</xdr:col>
      <xdr:colOff>250444</xdr:colOff>
      <xdr:row>3</xdr:row>
      <xdr:rowOff>168000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3BEE1C0-673D-417C-990E-BEA095DE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85" y="174929"/>
          <a:ext cx="1689630" cy="5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469900</xdr:colOff>
      <xdr:row>14</xdr:row>
      <xdr:rowOff>166282</xdr:rowOff>
    </xdr:from>
    <xdr:to>
      <xdr:col>4</xdr:col>
      <xdr:colOff>165100</xdr:colOff>
      <xdr:row>20</xdr:row>
      <xdr:rowOff>131019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BDD3CCA-5C5A-C826-0DF5-5D8B7FAE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" y="2744382"/>
          <a:ext cx="1981200" cy="1069637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88900" dir="3000000" algn="ctr" rotWithShape="0">
            <a:schemeClr val="tx1">
              <a:lumMod val="50000"/>
              <a:lumOff val="5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368300</xdr:colOff>
      <xdr:row>14</xdr:row>
      <xdr:rowOff>158750</xdr:rowOff>
    </xdr:from>
    <xdr:to>
      <xdr:col>7</xdr:col>
      <xdr:colOff>658239</xdr:colOff>
      <xdr:row>21</xdr:row>
      <xdr:rowOff>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D4B50E3-2E29-4A94-8828-D979EB85F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8300" y="2736850"/>
          <a:ext cx="1813939" cy="1130300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</xdr:spPr>
    </xdr:pic>
    <xdr:clientData/>
  </xdr:twoCellAnchor>
  <xdr:twoCellAnchor editAs="oneCell">
    <xdr:from>
      <xdr:col>9</xdr:col>
      <xdr:colOff>190831</xdr:colOff>
      <xdr:row>14</xdr:row>
      <xdr:rowOff>160543</xdr:rowOff>
    </xdr:from>
    <xdr:to>
      <xdr:col>11</xdr:col>
      <xdr:colOff>477078</xdr:colOff>
      <xdr:row>20</xdr:row>
      <xdr:rowOff>151075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8E64CD8-20D6-EFF0-16BE-98B00E51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3252" y="2832181"/>
          <a:ext cx="1940118" cy="1135520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76200" dir="2400000" algn="ctr" rotWithShape="0">
            <a:schemeClr val="bg2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178905</xdr:rowOff>
    </xdr:from>
    <xdr:to>
      <xdr:col>3</xdr:col>
      <xdr:colOff>2435086</xdr:colOff>
      <xdr:row>15</xdr:row>
      <xdr:rowOff>174052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D4EDCDF2-4945-4B40-B892-9950FFEEFEF5}"/>
            </a:ext>
          </a:extLst>
        </xdr:cNvPr>
        <xdr:cNvSpPr/>
      </xdr:nvSpPr>
      <xdr:spPr>
        <a:xfrm>
          <a:off x="1620079" y="1928193"/>
          <a:ext cx="2435086" cy="36289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8</xdr:col>
      <xdr:colOff>0</xdr:colOff>
      <xdr:row>15</xdr:row>
      <xdr:rowOff>188106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FFD504D0-0193-4CEF-AB70-4CE0E9D2DDB2}"/>
            </a:ext>
          </a:extLst>
        </xdr:cNvPr>
        <xdr:cNvSpPr/>
      </xdr:nvSpPr>
      <xdr:spPr>
        <a:xfrm>
          <a:off x="5744818" y="1782418"/>
          <a:ext cx="1742660" cy="373636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9</xdr:col>
      <xdr:colOff>6627</xdr:colOff>
      <xdr:row>14</xdr:row>
      <xdr:rowOff>6625</xdr:rowOff>
    </xdr:from>
    <xdr:to>
      <xdr:col>10</xdr:col>
      <xdr:colOff>1219</xdr:colOff>
      <xdr:row>16</xdr:row>
      <xdr:rowOff>3389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77661D7B-AE7F-4743-964F-8CEEDA4D4152}"/>
            </a:ext>
          </a:extLst>
        </xdr:cNvPr>
        <xdr:cNvSpPr/>
      </xdr:nvSpPr>
      <xdr:spPr>
        <a:xfrm>
          <a:off x="8116958" y="1789043"/>
          <a:ext cx="1054765" cy="3744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6627</xdr:colOff>
      <xdr:row>13</xdr:row>
      <xdr:rowOff>185530</xdr:rowOff>
    </xdr:from>
    <xdr:to>
      <xdr:col>11</xdr:col>
      <xdr:colOff>1106557</xdr:colOff>
      <xdr:row>15</xdr:row>
      <xdr:rowOff>182293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94ED3D3E-E8E0-4DB3-AEE4-9E11053B489A}"/>
            </a:ext>
          </a:extLst>
        </xdr:cNvPr>
        <xdr:cNvSpPr/>
      </xdr:nvSpPr>
      <xdr:spPr>
        <a:xfrm>
          <a:off x="9806610" y="1775791"/>
          <a:ext cx="1099930" cy="37445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6626</xdr:colOff>
      <xdr:row>13</xdr:row>
      <xdr:rowOff>185531</xdr:rowOff>
    </xdr:from>
    <xdr:to>
      <xdr:col>12</xdr:col>
      <xdr:colOff>895846</xdr:colOff>
      <xdr:row>15</xdr:row>
      <xdr:rowOff>182294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10D54506-7968-4988-920A-9508A589BD1F}"/>
            </a:ext>
          </a:extLst>
        </xdr:cNvPr>
        <xdr:cNvSpPr/>
      </xdr:nvSpPr>
      <xdr:spPr>
        <a:xfrm>
          <a:off x="10919791" y="1775792"/>
          <a:ext cx="889220" cy="37445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ep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13252</xdr:colOff>
      <xdr:row>13</xdr:row>
      <xdr:rowOff>185531</xdr:rowOff>
    </xdr:from>
    <xdr:to>
      <xdr:col>17</xdr:col>
      <xdr:colOff>0</xdr:colOff>
      <xdr:row>15</xdr:row>
      <xdr:rowOff>182294</xdr:rowOff>
    </xdr:to>
    <xdr:sp macro="" textlink="">
      <xdr:nvSpPr>
        <xdr:cNvPr id="11" name="Rectangle : coins arrondis 10">
          <a:extLst>
            <a:ext uri="{FF2B5EF4-FFF2-40B4-BE49-F238E27FC236}">
              <a16:creationId xmlns:a16="http://schemas.microsoft.com/office/drawing/2014/main" id="{E98C4659-AAED-4CEF-AD5F-4067075C6F70}"/>
            </a:ext>
          </a:extLst>
        </xdr:cNvPr>
        <xdr:cNvSpPr/>
      </xdr:nvSpPr>
      <xdr:spPr>
        <a:xfrm>
          <a:off x="8938591" y="1775792"/>
          <a:ext cx="1192696" cy="374450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isolant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surfacique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6625</xdr:colOff>
      <xdr:row>22</xdr:row>
      <xdr:rowOff>185532</xdr:rowOff>
    </xdr:from>
    <xdr:to>
      <xdr:col>3</xdr:col>
      <xdr:colOff>2425147</xdr:colOff>
      <xdr:row>24</xdr:row>
      <xdr:rowOff>174052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C6D3B11E-AD95-4C3D-886E-CFDD9EB243C3}"/>
            </a:ext>
          </a:extLst>
        </xdr:cNvPr>
        <xdr:cNvSpPr/>
      </xdr:nvSpPr>
      <xdr:spPr>
        <a:xfrm>
          <a:off x="1626704" y="3723862"/>
          <a:ext cx="2418522" cy="366208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4</xdr:col>
      <xdr:colOff>0</xdr:colOff>
      <xdr:row>23</xdr:row>
      <xdr:rowOff>6626</xdr:rowOff>
    </xdr:from>
    <xdr:to>
      <xdr:col>8</xdr:col>
      <xdr:colOff>0</xdr:colOff>
      <xdr:row>24</xdr:row>
      <xdr:rowOff>188106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5C7D1A61-FC09-435D-B6B8-1F8C3C3B5CF6}"/>
            </a:ext>
          </a:extLst>
        </xdr:cNvPr>
        <xdr:cNvSpPr/>
      </xdr:nvSpPr>
      <xdr:spPr>
        <a:xfrm>
          <a:off x="4240696" y="3544957"/>
          <a:ext cx="1742661" cy="373636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9</xdr:col>
      <xdr:colOff>6627</xdr:colOff>
      <xdr:row>22</xdr:row>
      <xdr:rowOff>185530</xdr:rowOff>
    </xdr:from>
    <xdr:to>
      <xdr:col>10</xdr:col>
      <xdr:colOff>1219</xdr:colOff>
      <xdr:row>24</xdr:row>
      <xdr:rowOff>182294</xdr:rowOff>
    </xdr:to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11A4C2CC-3DB3-46E3-B298-F82FF5C81818}"/>
            </a:ext>
          </a:extLst>
        </xdr:cNvPr>
        <xdr:cNvSpPr/>
      </xdr:nvSpPr>
      <xdr:spPr>
        <a:xfrm>
          <a:off x="5989984" y="3531704"/>
          <a:ext cx="1054766" cy="381077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6626</xdr:colOff>
      <xdr:row>22</xdr:row>
      <xdr:rowOff>192156</xdr:rowOff>
    </xdr:from>
    <xdr:to>
      <xdr:col>12</xdr:col>
      <xdr:colOff>768625</xdr:colOff>
      <xdr:row>24</xdr:row>
      <xdr:rowOff>182293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884137B7-AC2D-4A29-AC01-F4358888E1F8}"/>
            </a:ext>
          </a:extLst>
        </xdr:cNvPr>
        <xdr:cNvSpPr/>
      </xdr:nvSpPr>
      <xdr:spPr>
        <a:xfrm>
          <a:off x="7050157" y="3538330"/>
          <a:ext cx="1875181" cy="37445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6626</xdr:colOff>
      <xdr:row>23</xdr:row>
      <xdr:rowOff>6626</xdr:rowOff>
    </xdr:from>
    <xdr:to>
      <xdr:col>16</xdr:col>
      <xdr:colOff>1199322</xdr:colOff>
      <xdr:row>24</xdr:row>
      <xdr:rowOff>188920</xdr:rowOff>
    </xdr:to>
    <xdr:sp macro="" textlink="">
      <xdr:nvSpPr>
        <xdr:cNvPr id="19" name="Rectangle : coins arrondis 18">
          <a:extLst>
            <a:ext uri="{FF2B5EF4-FFF2-40B4-BE49-F238E27FC236}">
              <a16:creationId xmlns:a16="http://schemas.microsoft.com/office/drawing/2014/main" id="{928CD589-4058-4BA3-92C7-509A2C068F18}"/>
            </a:ext>
          </a:extLst>
        </xdr:cNvPr>
        <xdr:cNvSpPr/>
      </xdr:nvSpPr>
      <xdr:spPr>
        <a:xfrm>
          <a:off x="8931965" y="3544957"/>
          <a:ext cx="1192696" cy="374450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isolant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surfacique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742122</xdr:colOff>
      <xdr:row>6</xdr:row>
      <xdr:rowOff>33130</xdr:rowOff>
    </xdr:from>
    <xdr:to>
      <xdr:col>11</xdr:col>
      <xdr:colOff>798276</xdr:colOff>
      <xdr:row>11</xdr:row>
      <xdr:rowOff>185702</xdr:rowOff>
    </xdr:to>
    <xdr:sp macro="" textlink="">
      <xdr:nvSpPr>
        <xdr:cNvPr id="20" name="Rectangle : coins arrondis 19">
          <a:extLst>
            <a:ext uri="{FF2B5EF4-FFF2-40B4-BE49-F238E27FC236}">
              <a16:creationId xmlns:a16="http://schemas.microsoft.com/office/drawing/2014/main" id="{1402B4E0-6686-4640-B78D-2CCED4F5EC39}"/>
            </a:ext>
          </a:extLst>
        </xdr:cNvPr>
        <xdr:cNvSpPr/>
      </xdr:nvSpPr>
      <xdr:spPr>
        <a:xfrm>
          <a:off x="4982818" y="417443"/>
          <a:ext cx="2858989" cy="116636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SEACOUSTIC </a:t>
          </a:r>
          <a:r>
            <a:rPr lang="fr-FR" sz="1600" b="1" i="0" baseline="0">
              <a:ln cap="flat" cmpd="sng">
                <a:noFill/>
              </a:ln>
              <a:solidFill>
                <a:schemeClr val="tx1"/>
              </a:solidFill>
            </a:rPr>
            <a:t>            </a:t>
          </a:r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 PLANCHER VIDE SANITAIRE</a:t>
          </a:r>
        </a:p>
      </xdr:txBody>
    </xdr:sp>
    <xdr:clientData/>
  </xdr:twoCellAnchor>
  <xdr:twoCellAnchor>
    <xdr:from>
      <xdr:col>7</xdr:col>
      <xdr:colOff>755374</xdr:colOff>
      <xdr:row>29</xdr:row>
      <xdr:rowOff>185531</xdr:rowOff>
    </xdr:from>
    <xdr:to>
      <xdr:col>9</xdr:col>
      <xdr:colOff>1046524</xdr:colOff>
      <xdr:row>32</xdr:row>
      <xdr:rowOff>19877</xdr:rowOff>
    </xdr:to>
    <xdr:sp macro="" textlink="">
      <xdr:nvSpPr>
        <xdr:cNvPr id="21" name="Rectangle : coins arrondis 20">
          <a:extLst>
            <a:ext uri="{FF2B5EF4-FFF2-40B4-BE49-F238E27FC236}">
              <a16:creationId xmlns:a16="http://schemas.microsoft.com/office/drawing/2014/main" id="{8EE43C37-0D52-4580-A0C4-04B295EFEE3A}"/>
            </a:ext>
          </a:extLst>
        </xdr:cNvPr>
        <xdr:cNvSpPr/>
      </xdr:nvSpPr>
      <xdr:spPr>
        <a:xfrm>
          <a:off x="4996070" y="5088835"/>
          <a:ext cx="2033811" cy="43069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TOTAL PLANCHER </a:t>
          </a:r>
        </a:p>
      </xdr:txBody>
    </xdr:sp>
    <xdr:clientData/>
  </xdr:twoCellAnchor>
  <xdr:twoCellAnchor editAs="oneCell">
    <xdr:from>
      <xdr:col>0</xdr:col>
      <xdr:colOff>172211</xdr:colOff>
      <xdr:row>0</xdr:row>
      <xdr:rowOff>97566</xdr:rowOff>
    </xdr:from>
    <xdr:to>
      <xdr:col>2</xdr:col>
      <xdr:colOff>146676</xdr:colOff>
      <xdr:row>2</xdr:row>
      <xdr:rowOff>228599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A119562-6BDE-4753-B271-76CC5D9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1" y="97566"/>
          <a:ext cx="1524969" cy="50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1273831</xdr:colOff>
      <xdr:row>8</xdr:row>
      <xdr:rowOff>105477</xdr:rowOff>
    </xdr:from>
    <xdr:ext cx="901722" cy="342786"/>
    <xdr:sp macro="" textlink="">
      <xdr:nvSpPr>
        <xdr:cNvPr id="24" name="ZoneTexte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4345E2-5AE8-457C-9A0B-037400AA76C9}"/>
            </a:ext>
          </a:extLst>
        </xdr:cNvPr>
        <xdr:cNvSpPr txBox="1"/>
      </xdr:nvSpPr>
      <xdr:spPr>
        <a:xfrm>
          <a:off x="3013179" y="1755373"/>
          <a:ext cx="901722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spAutoFit/>
        </a:bodyPr>
        <a:lstStyle/>
        <a:p>
          <a:r>
            <a:rPr lang="fr-FR" sz="1600" b="1" baseline="0"/>
            <a:t>ACCUEIL</a:t>
          </a:r>
        </a:p>
      </xdr:txBody>
    </xdr:sp>
    <xdr:clientData/>
  </xdr:oneCellAnchor>
  <xdr:twoCellAnchor editAs="oneCell">
    <xdr:from>
      <xdr:col>9</xdr:col>
      <xdr:colOff>769547</xdr:colOff>
      <xdr:row>34</xdr:row>
      <xdr:rowOff>68673</xdr:rowOff>
    </xdr:from>
    <xdr:to>
      <xdr:col>12</xdr:col>
      <xdr:colOff>366365</xdr:colOff>
      <xdr:row>39</xdr:row>
      <xdr:rowOff>72780</xdr:rowOff>
    </xdr:to>
    <xdr:pic>
      <xdr:nvPicPr>
        <xdr:cNvPr id="2" name="Imag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BAA3BE-8FCC-41D9-A9C6-0EB3654D3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3268" y="5922821"/>
          <a:ext cx="1763550" cy="958263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88900" dir="3000000" algn="ctr" rotWithShape="0">
            <a:schemeClr val="tx1">
              <a:lumMod val="50000"/>
              <a:lumOff val="5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168963</xdr:colOff>
      <xdr:row>16</xdr:row>
      <xdr:rowOff>69574</xdr:rowOff>
    </xdr:from>
    <xdr:to>
      <xdr:col>2</xdr:col>
      <xdr:colOff>39756</xdr:colOff>
      <xdr:row>16</xdr:row>
      <xdr:rowOff>188844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4F6540CD-56D1-46F0-B2AD-EF9DFFEF5FD3}"/>
            </a:ext>
          </a:extLst>
        </xdr:cNvPr>
        <xdr:cNvSpPr/>
      </xdr:nvSpPr>
      <xdr:spPr>
        <a:xfrm>
          <a:off x="944216" y="2385392"/>
          <a:ext cx="646044" cy="11927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524993</xdr:colOff>
      <xdr:row>34</xdr:row>
      <xdr:rowOff>92203</xdr:rowOff>
    </xdr:from>
    <xdr:to>
      <xdr:col>20</xdr:col>
      <xdr:colOff>129209</xdr:colOff>
      <xdr:row>39</xdr:row>
      <xdr:rowOff>117295</xdr:rowOff>
    </xdr:to>
    <xdr:pic>
      <xdr:nvPicPr>
        <xdr:cNvPr id="6" name="Imag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3B02AD-6B75-F134-4571-FB31EF15E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3245"/>
        <a:stretch/>
      </xdr:blipFill>
      <xdr:spPr>
        <a:xfrm>
          <a:off x="8615446" y="5946351"/>
          <a:ext cx="1592042" cy="979248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88900" dir="2400000" algn="ctr" rotWithShape="0">
            <a:schemeClr val="tx2">
              <a:lumMod val="60000"/>
              <a:lumOff val="40000"/>
            </a:scheme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5301</xdr:colOff>
      <xdr:row>15</xdr:row>
      <xdr:rowOff>127000</xdr:rowOff>
    </xdr:from>
    <xdr:to>
      <xdr:col>1</xdr:col>
      <xdr:colOff>1881809</xdr:colOff>
      <xdr:row>18</xdr:row>
      <xdr:rowOff>115846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440F35EC-02CD-3B90-D1E9-F295D4557C4F}"/>
            </a:ext>
          </a:extLst>
        </xdr:cNvPr>
        <xdr:cNvSpPr/>
      </xdr:nvSpPr>
      <xdr:spPr>
        <a:xfrm>
          <a:off x="784529" y="1518478"/>
          <a:ext cx="1876508" cy="362558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2</xdr:col>
      <xdr:colOff>2651</xdr:colOff>
      <xdr:row>15</xdr:row>
      <xdr:rowOff>125608</xdr:rowOff>
    </xdr:from>
    <xdr:to>
      <xdr:col>2</xdr:col>
      <xdr:colOff>1152939</xdr:colOff>
      <xdr:row>18</xdr:row>
      <xdr:rowOff>121357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71839218-C4E0-435E-82D6-C96E3542D2E1}"/>
            </a:ext>
          </a:extLst>
        </xdr:cNvPr>
        <xdr:cNvSpPr/>
      </xdr:nvSpPr>
      <xdr:spPr>
        <a:xfrm>
          <a:off x="2674289" y="1517086"/>
          <a:ext cx="1150288" cy="369461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MONTAGE</a:t>
          </a:r>
        </a:p>
      </xdr:txBody>
    </xdr:sp>
    <xdr:clientData/>
  </xdr:twoCellAnchor>
  <xdr:twoCellAnchor>
    <xdr:from>
      <xdr:col>6</xdr:col>
      <xdr:colOff>5301</xdr:colOff>
      <xdr:row>15</xdr:row>
      <xdr:rowOff>124493</xdr:rowOff>
    </xdr:from>
    <xdr:to>
      <xdr:col>6</xdr:col>
      <xdr:colOff>1190044</xdr:colOff>
      <xdr:row>18</xdr:row>
      <xdr:rowOff>116791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6890157A-4EDE-45EC-A888-23A09447CD1B}"/>
            </a:ext>
          </a:extLst>
        </xdr:cNvPr>
        <xdr:cNvSpPr/>
      </xdr:nvSpPr>
      <xdr:spPr>
        <a:xfrm>
          <a:off x="3837830" y="1515971"/>
          <a:ext cx="1184743" cy="366010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7</xdr:col>
      <xdr:colOff>0</xdr:colOff>
      <xdr:row>15</xdr:row>
      <xdr:rowOff>136525</xdr:rowOff>
    </xdr:from>
    <xdr:to>
      <xdr:col>9</xdr:col>
      <xdr:colOff>0</xdr:colOff>
      <xdr:row>18</xdr:row>
      <xdr:rowOff>129637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57DB1686-E41E-4BE8-80EE-37BAF69C45AA}"/>
            </a:ext>
          </a:extLst>
        </xdr:cNvPr>
        <xdr:cNvSpPr/>
      </xdr:nvSpPr>
      <xdr:spPr>
        <a:xfrm>
          <a:off x="5029200" y="1534629"/>
          <a:ext cx="1060174" cy="3708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2650</xdr:colOff>
      <xdr:row>15</xdr:row>
      <xdr:rowOff>133845</xdr:rowOff>
    </xdr:from>
    <xdr:to>
      <xdr:col>10</xdr:col>
      <xdr:colOff>1110532</xdr:colOff>
      <xdr:row>18</xdr:row>
      <xdr:rowOff>126957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F5E00E8C-C512-48C8-8151-6B0680BA3CF7}"/>
            </a:ext>
          </a:extLst>
        </xdr:cNvPr>
        <xdr:cNvSpPr/>
      </xdr:nvSpPr>
      <xdr:spPr>
        <a:xfrm>
          <a:off x="6085398" y="1525323"/>
          <a:ext cx="1107882" cy="36682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6627</xdr:colOff>
      <xdr:row>15</xdr:row>
      <xdr:rowOff>133846</xdr:rowOff>
    </xdr:from>
    <xdr:to>
      <xdr:col>11</xdr:col>
      <xdr:colOff>895847</xdr:colOff>
      <xdr:row>18</xdr:row>
      <xdr:rowOff>126958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2E79CAA8-2E6F-4F9D-848C-FAFD2DF7716E}"/>
            </a:ext>
          </a:extLst>
        </xdr:cNvPr>
        <xdr:cNvSpPr/>
      </xdr:nvSpPr>
      <xdr:spPr>
        <a:xfrm>
          <a:off x="7202557" y="1525324"/>
          <a:ext cx="889220" cy="36682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ep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15</xdr:row>
      <xdr:rowOff>140471</xdr:rowOff>
    </xdr:from>
    <xdr:to>
      <xdr:col>16</xdr:col>
      <xdr:colOff>959458</xdr:colOff>
      <xdr:row>18</xdr:row>
      <xdr:rowOff>133583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BBE8B3F4-9D23-44FA-BBDB-DE42B8098F2B}"/>
            </a:ext>
          </a:extLst>
        </xdr:cNvPr>
        <xdr:cNvSpPr/>
      </xdr:nvSpPr>
      <xdr:spPr>
        <a:xfrm>
          <a:off x="8102378" y="1531949"/>
          <a:ext cx="959459" cy="366824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974034</xdr:colOff>
      <xdr:row>15</xdr:row>
      <xdr:rowOff>136524</xdr:rowOff>
    </xdr:from>
    <xdr:to>
      <xdr:col>19</xdr:col>
      <xdr:colOff>604299</xdr:colOff>
      <xdr:row>18</xdr:row>
      <xdr:rowOff>129636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38A02450-4B84-46BA-8F06-A24C533F4D5B}"/>
            </a:ext>
          </a:extLst>
        </xdr:cNvPr>
        <xdr:cNvSpPr/>
      </xdr:nvSpPr>
      <xdr:spPr>
        <a:xfrm>
          <a:off x="9076413" y="2148204"/>
          <a:ext cx="1474968" cy="366823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plaf.+ ossature</a:t>
          </a:r>
        </a:p>
      </xdr:txBody>
    </xdr:sp>
    <xdr:clientData/>
  </xdr:twoCellAnchor>
  <xdr:twoCellAnchor>
    <xdr:from>
      <xdr:col>1</xdr:col>
      <xdr:colOff>836</xdr:colOff>
      <xdr:row>25</xdr:row>
      <xdr:rowOff>2803</xdr:rowOff>
    </xdr:from>
    <xdr:to>
      <xdr:col>6</xdr:col>
      <xdr:colOff>11408</xdr:colOff>
      <xdr:row>26</xdr:row>
      <xdr:rowOff>188045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144CDB23-AA0F-442F-B778-20A67906EDFF}"/>
            </a:ext>
          </a:extLst>
        </xdr:cNvPr>
        <xdr:cNvSpPr/>
      </xdr:nvSpPr>
      <xdr:spPr>
        <a:xfrm>
          <a:off x="779227" y="3836169"/>
          <a:ext cx="3061362" cy="377747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6</xdr:col>
      <xdr:colOff>15275</xdr:colOff>
      <xdr:row>25</xdr:row>
      <xdr:rowOff>4612</xdr:rowOff>
    </xdr:from>
    <xdr:to>
      <xdr:col>6</xdr:col>
      <xdr:colOff>1180140</xdr:colOff>
      <xdr:row>26</xdr:row>
      <xdr:rowOff>187743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F064A75B-E9FA-41DC-9F0C-03A14A959754}"/>
            </a:ext>
          </a:extLst>
        </xdr:cNvPr>
        <xdr:cNvSpPr/>
      </xdr:nvSpPr>
      <xdr:spPr>
        <a:xfrm>
          <a:off x="3844456" y="3837978"/>
          <a:ext cx="1164865" cy="375636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6</xdr:col>
      <xdr:colOff>1192695</xdr:colOff>
      <xdr:row>25</xdr:row>
      <xdr:rowOff>541</xdr:rowOff>
    </xdr:from>
    <xdr:to>
      <xdr:col>9</xdr:col>
      <xdr:colOff>0</xdr:colOff>
      <xdr:row>26</xdr:row>
      <xdr:rowOff>186159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0D984C34-28E6-4D26-A7DE-EFFCFED921A6}"/>
            </a:ext>
          </a:extLst>
        </xdr:cNvPr>
        <xdr:cNvSpPr/>
      </xdr:nvSpPr>
      <xdr:spPr>
        <a:xfrm>
          <a:off x="5021876" y="3833907"/>
          <a:ext cx="1058779" cy="378123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1051722</xdr:colOff>
      <xdr:row>25</xdr:row>
      <xdr:rowOff>1047</xdr:rowOff>
    </xdr:from>
    <xdr:to>
      <xdr:col>16</xdr:col>
      <xdr:colOff>11299</xdr:colOff>
      <xdr:row>26</xdr:row>
      <xdr:rowOff>186664</xdr:rowOff>
    </xdr:to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87C1AD6A-D261-41C8-8D4C-7DA361557797}"/>
            </a:ext>
          </a:extLst>
        </xdr:cNvPr>
        <xdr:cNvSpPr/>
      </xdr:nvSpPr>
      <xdr:spPr>
        <a:xfrm>
          <a:off x="6073598" y="3834413"/>
          <a:ext cx="2039662" cy="378122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25</xdr:row>
      <xdr:rowOff>7528</xdr:rowOff>
    </xdr:from>
    <xdr:to>
      <xdr:col>16</xdr:col>
      <xdr:colOff>978010</xdr:colOff>
      <xdr:row>26</xdr:row>
      <xdr:rowOff>193145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B63DB64F-6755-4CCE-8A82-006DBFDD40EB}"/>
            </a:ext>
          </a:extLst>
        </xdr:cNvPr>
        <xdr:cNvSpPr/>
      </xdr:nvSpPr>
      <xdr:spPr>
        <a:xfrm>
          <a:off x="8100286" y="3840894"/>
          <a:ext cx="979685" cy="378122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oneCellAnchor>
    <xdr:from>
      <xdr:col>16</xdr:col>
      <xdr:colOff>973825</xdr:colOff>
      <xdr:row>25</xdr:row>
      <xdr:rowOff>7893</xdr:rowOff>
    </xdr:from>
    <xdr:ext cx="1465970" cy="374400"/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4B5EB9E2-003E-42D6-A973-64C2F9D9C027}"/>
            </a:ext>
          </a:extLst>
        </xdr:cNvPr>
        <xdr:cNvSpPr/>
      </xdr:nvSpPr>
      <xdr:spPr>
        <a:xfrm>
          <a:off x="9075786" y="3841259"/>
          <a:ext cx="1465970" cy="3744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spAutoFit/>
        </a:bodyPr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 + ossature</a:t>
          </a:r>
        </a:p>
      </xdr:txBody>
    </xdr:sp>
    <xdr:clientData/>
  </xdr:oneCellAnchor>
  <xdr:twoCellAnchor>
    <xdr:from>
      <xdr:col>6</xdr:col>
      <xdr:colOff>172058</xdr:colOff>
      <xdr:row>33</xdr:row>
      <xdr:rowOff>196818</xdr:rowOff>
    </xdr:from>
    <xdr:to>
      <xdr:col>8</xdr:col>
      <xdr:colOff>1013174</xdr:colOff>
      <xdr:row>36</xdr:row>
      <xdr:rowOff>8113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2FD46E2F-42C5-487F-A0F2-0540B3B8EED9}"/>
            </a:ext>
          </a:extLst>
        </xdr:cNvPr>
        <xdr:cNvSpPr/>
      </xdr:nvSpPr>
      <xdr:spPr>
        <a:xfrm>
          <a:off x="4001666" y="5243462"/>
          <a:ext cx="2033811" cy="41981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TOTAL PLANCHER </a:t>
          </a:r>
        </a:p>
      </xdr:txBody>
    </xdr:sp>
    <xdr:clientData/>
  </xdr:twoCellAnchor>
  <xdr:twoCellAnchor>
    <xdr:from>
      <xdr:col>6</xdr:col>
      <xdr:colOff>680371</xdr:colOff>
      <xdr:row>7</xdr:row>
      <xdr:rowOff>83982</xdr:rowOff>
    </xdr:from>
    <xdr:to>
      <xdr:col>11</xdr:col>
      <xdr:colOff>180339</xdr:colOff>
      <xdr:row>12</xdr:row>
      <xdr:rowOff>229521</xdr:rowOff>
    </xdr:to>
    <xdr:sp macro="" textlink="">
      <xdr:nvSpPr>
        <xdr:cNvPr id="19" name="Rectangle : coins arrondis 18">
          <a:extLst>
            <a:ext uri="{FF2B5EF4-FFF2-40B4-BE49-F238E27FC236}">
              <a16:creationId xmlns:a16="http://schemas.microsoft.com/office/drawing/2014/main" id="{1F57132A-BAD2-403E-B9DD-4A6A4EBB5BDE}"/>
            </a:ext>
          </a:extLst>
        </xdr:cNvPr>
        <xdr:cNvSpPr/>
      </xdr:nvSpPr>
      <xdr:spPr>
        <a:xfrm>
          <a:off x="4516670" y="461054"/>
          <a:ext cx="2869027" cy="113740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SEACOUSTIC 1-2-3</a:t>
          </a:r>
          <a:r>
            <a:rPr lang="fr-FR" sz="1600" b="1" i="0" baseline="0">
              <a:ln cap="flat" cmpd="sng">
                <a:noFill/>
              </a:ln>
              <a:solidFill>
                <a:schemeClr val="tx1"/>
              </a:solidFill>
            </a:rPr>
            <a:t>            </a:t>
          </a:r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 PLANCHER INTERMEDIAIRE </a:t>
          </a:r>
        </a:p>
      </xdr:txBody>
    </xdr:sp>
    <xdr:clientData/>
  </xdr:twoCellAnchor>
  <xdr:oneCellAnchor>
    <xdr:from>
      <xdr:col>2</xdr:col>
      <xdr:colOff>397565</xdr:colOff>
      <xdr:row>9</xdr:row>
      <xdr:rowOff>87464</xdr:rowOff>
    </xdr:from>
    <xdr:ext cx="901722" cy="342786"/>
    <xdr:sp macro="" textlink="">
      <xdr:nvSpPr>
        <xdr:cNvPr id="20" name="ZoneTexte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DF88C-D4F6-432E-B9C9-CF2C7259AA8F}"/>
            </a:ext>
          </a:extLst>
        </xdr:cNvPr>
        <xdr:cNvSpPr txBox="1"/>
      </xdr:nvSpPr>
      <xdr:spPr>
        <a:xfrm>
          <a:off x="3410226" y="1933934"/>
          <a:ext cx="901722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 anchorCtr="1">
          <a:spAutoFit/>
        </a:bodyPr>
        <a:lstStyle/>
        <a:p>
          <a:r>
            <a:rPr lang="fr-FR" sz="1600" b="1" baseline="0"/>
            <a:t>ACCUEIL</a:t>
          </a:r>
          <a:endParaRPr lang="fr-FR" sz="1600" b="1"/>
        </a:p>
      </xdr:txBody>
    </xdr:sp>
    <xdr:clientData/>
  </xdr:oneCellAnchor>
  <xdr:twoCellAnchor editAs="oneCell">
    <xdr:from>
      <xdr:col>0</xdr:col>
      <xdr:colOff>196509</xdr:colOff>
      <xdr:row>0</xdr:row>
      <xdr:rowOff>182880</xdr:rowOff>
    </xdr:from>
    <xdr:to>
      <xdr:col>1</xdr:col>
      <xdr:colOff>766141</xdr:colOff>
      <xdr:row>3</xdr:row>
      <xdr:rowOff>170271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10F873A-D292-4D6D-93E8-0B94645E8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09" y="182880"/>
          <a:ext cx="1694173" cy="5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308113</xdr:colOff>
      <xdr:row>19</xdr:row>
      <xdr:rowOff>59635</xdr:rowOff>
    </xdr:from>
    <xdr:to>
      <xdr:col>0</xdr:col>
      <xdr:colOff>954157</xdr:colOff>
      <xdr:row>19</xdr:row>
      <xdr:rowOff>178905</xdr:rowOff>
    </xdr:to>
    <xdr:sp macro="" textlink="">
      <xdr:nvSpPr>
        <xdr:cNvPr id="18" name="Flèche : droite 17">
          <a:extLst>
            <a:ext uri="{FF2B5EF4-FFF2-40B4-BE49-F238E27FC236}">
              <a16:creationId xmlns:a16="http://schemas.microsoft.com/office/drawing/2014/main" id="{A3472EF6-9F6A-5FA8-41E7-BB2F002892E5}"/>
            </a:ext>
          </a:extLst>
        </xdr:cNvPr>
        <xdr:cNvSpPr/>
      </xdr:nvSpPr>
      <xdr:spPr>
        <a:xfrm>
          <a:off x="308113" y="2613991"/>
          <a:ext cx="646044" cy="11927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11</xdr:col>
      <xdr:colOff>271281</xdr:colOff>
      <xdr:row>42</xdr:row>
      <xdr:rowOff>2599</xdr:rowOff>
    </xdr:from>
    <xdr:to>
      <xdr:col>16</xdr:col>
      <xdr:colOff>612788</xdr:colOff>
      <xdr:row>46</xdr:row>
      <xdr:rowOff>86834</xdr:rowOff>
    </xdr:to>
    <xdr:pic>
      <xdr:nvPicPr>
        <xdr:cNvPr id="24" name="Imag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366107-2ED6-C7A8-CC18-545457EB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7351" y="8280790"/>
          <a:ext cx="1251489" cy="861696"/>
        </a:xfrm>
        <a:prstGeom prst="rect">
          <a:avLst/>
        </a:prstGeom>
        <a:ln>
          <a:solidFill>
            <a:schemeClr val="accent1"/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</xdr:spPr>
    </xdr:pic>
    <xdr:clientData/>
  </xdr:twoCellAnchor>
  <xdr:twoCellAnchor editAs="oneCell">
    <xdr:from>
      <xdr:col>16</xdr:col>
      <xdr:colOff>836705</xdr:colOff>
      <xdr:row>42</xdr:row>
      <xdr:rowOff>9939</xdr:rowOff>
    </xdr:from>
    <xdr:to>
      <xdr:col>19</xdr:col>
      <xdr:colOff>153829</xdr:colOff>
      <xdr:row>47</xdr:row>
      <xdr:rowOff>106593</xdr:rowOff>
    </xdr:to>
    <xdr:pic>
      <xdr:nvPicPr>
        <xdr:cNvPr id="25" name="Image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105903-304C-252F-84BD-555D81646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2757" y="8288130"/>
          <a:ext cx="1163594" cy="1068481"/>
        </a:xfrm>
        <a:prstGeom prst="rect">
          <a:avLst/>
        </a:prstGeom>
        <a:ln>
          <a:solidFill>
            <a:schemeClr val="accent1"/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</xdr:spPr>
    </xdr:pic>
    <xdr:clientData/>
  </xdr:twoCellAnchor>
  <xdr:twoCellAnchor editAs="oneCell">
    <xdr:from>
      <xdr:col>8</xdr:col>
      <xdr:colOff>993914</xdr:colOff>
      <xdr:row>42</xdr:row>
      <xdr:rowOff>3268</xdr:rowOff>
    </xdr:from>
    <xdr:to>
      <xdr:col>11</xdr:col>
      <xdr:colOff>53669</xdr:colOff>
      <xdr:row>46</xdr:row>
      <xdr:rowOff>97403</xdr:rowOff>
    </xdr:to>
    <xdr:pic>
      <xdr:nvPicPr>
        <xdr:cNvPr id="23" name="Image 2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2BA862-6BAC-F4C0-E108-02EF4432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1044" y="8123538"/>
          <a:ext cx="1226486" cy="849509"/>
        </a:xfrm>
        <a:prstGeom prst="rect">
          <a:avLst/>
        </a:prstGeom>
        <a:noFill/>
        <a:ln>
          <a:solidFill>
            <a:schemeClr val="accent1"/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5301</xdr:colOff>
      <xdr:row>15</xdr:row>
      <xdr:rowOff>127000</xdr:rowOff>
    </xdr:from>
    <xdr:to>
      <xdr:col>1</xdr:col>
      <xdr:colOff>1881809</xdr:colOff>
      <xdr:row>18</xdr:row>
      <xdr:rowOff>115846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CDEDFE11-909C-4762-B196-207FE334FB67}"/>
            </a:ext>
          </a:extLst>
        </xdr:cNvPr>
        <xdr:cNvSpPr/>
      </xdr:nvSpPr>
      <xdr:spPr>
        <a:xfrm>
          <a:off x="784529" y="2130729"/>
          <a:ext cx="1876508" cy="362557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2</xdr:col>
      <xdr:colOff>2651</xdr:colOff>
      <xdr:row>15</xdr:row>
      <xdr:rowOff>125608</xdr:rowOff>
    </xdr:from>
    <xdr:to>
      <xdr:col>2</xdr:col>
      <xdr:colOff>1152939</xdr:colOff>
      <xdr:row>18</xdr:row>
      <xdr:rowOff>121357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3C1FD78E-C19D-45AC-AFC3-0B299698B62D}"/>
            </a:ext>
          </a:extLst>
        </xdr:cNvPr>
        <xdr:cNvSpPr/>
      </xdr:nvSpPr>
      <xdr:spPr>
        <a:xfrm>
          <a:off x="2674289" y="2129337"/>
          <a:ext cx="1150288" cy="36946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MONTAGE</a:t>
          </a:r>
        </a:p>
      </xdr:txBody>
    </xdr:sp>
    <xdr:clientData/>
  </xdr:twoCellAnchor>
  <xdr:twoCellAnchor>
    <xdr:from>
      <xdr:col>6</xdr:col>
      <xdr:colOff>5301</xdr:colOff>
      <xdr:row>15</xdr:row>
      <xdr:rowOff>124493</xdr:rowOff>
    </xdr:from>
    <xdr:to>
      <xdr:col>6</xdr:col>
      <xdr:colOff>1190044</xdr:colOff>
      <xdr:row>18</xdr:row>
      <xdr:rowOff>116791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F735A03E-8DAC-4166-A696-37ED13D8C81F}"/>
            </a:ext>
          </a:extLst>
        </xdr:cNvPr>
        <xdr:cNvSpPr/>
      </xdr:nvSpPr>
      <xdr:spPr>
        <a:xfrm>
          <a:off x="3837830" y="2128222"/>
          <a:ext cx="1184743" cy="366009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7</xdr:col>
      <xdr:colOff>0</xdr:colOff>
      <xdr:row>15</xdr:row>
      <xdr:rowOff>136525</xdr:rowOff>
    </xdr:from>
    <xdr:to>
      <xdr:col>9</xdr:col>
      <xdr:colOff>0</xdr:colOff>
      <xdr:row>18</xdr:row>
      <xdr:rowOff>129637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6095323C-CEA4-4544-BF71-BAB81ED69528}"/>
            </a:ext>
          </a:extLst>
        </xdr:cNvPr>
        <xdr:cNvSpPr/>
      </xdr:nvSpPr>
      <xdr:spPr>
        <a:xfrm>
          <a:off x="5025224" y="2140254"/>
          <a:ext cx="1057524" cy="366823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2650</xdr:colOff>
      <xdr:row>15</xdr:row>
      <xdr:rowOff>133845</xdr:rowOff>
    </xdr:from>
    <xdr:to>
      <xdr:col>10</xdr:col>
      <xdr:colOff>1110532</xdr:colOff>
      <xdr:row>18</xdr:row>
      <xdr:rowOff>126957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CA5DB2E1-FAAF-48CF-AD47-C43B3B5BC200}"/>
            </a:ext>
          </a:extLst>
        </xdr:cNvPr>
        <xdr:cNvSpPr/>
      </xdr:nvSpPr>
      <xdr:spPr>
        <a:xfrm>
          <a:off x="6082748" y="2137574"/>
          <a:ext cx="1110532" cy="366823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6627</xdr:colOff>
      <xdr:row>15</xdr:row>
      <xdr:rowOff>133846</xdr:rowOff>
    </xdr:from>
    <xdr:to>
      <xdr:col>11</xdr:col>
      <xdr:colOff>895847</xdr:colOff>
      <xdr:row>18</xdr:row>
      <xdr:rowOff>126958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F79817FD-36C3-444D-873D-AF439892A372}"/>
            </a:ext>
          </a:extLst>
        </xdr:cNvPr>
        <xdr:cNvSpPr/>
      </xdr:nvSpPr>
      <xdr:spPr>
        <a:xfrm>
          <a:off x="7202557" y="2137575"/>
          <a:ext cx="889220" cy="366823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ep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15</xdr:row>
      <xdr:rowOff>140471</xdr:rowOff>
    </xdr:from>
    <xdr:to>
      <xdr:col>16</xdr:col>
      <xdr:colOff>959458</xdr:colOff>
      <xdr:row>18</xdr:row>
      <xdr:rowOff>133583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22A1F921-5571-4534-A935-D4D6B48D876E}"/>
            </a:ext>
          </a:extLst>
        </xdr:cNvPr>
        <xdr:cNvSpPr/>
      </xdr:nvSpPr>
      <xdr:spPr>
        <a:xfrm>
          <a:off x="8102378" y="2144200"/>
          <a:ext cx="959459" cy="366823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974034</xdr:colOff>
      <xdr:row>15</xdr:row>
      <xdr:rowOff>136524</xdr:rowOff>
    </xdr:from>
    <xdr:to>
      <xdr:col>19</xdr:col>
      <xdr:colOff>604299</xdr:colOff>
      <xdr:row>18</xdr:row>
      <xdr:rowOff>129636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21D29A1D-7248-4B95-921C-7A40F73F0E57}"/>
            </a:ext>
          </a:extLst>
        </xdr:cNvPr>
        <xdr:cNvSpPr/>
      </xdr:nvSpPr>
      <xdr:spPr>
        <a:xfrm>
          <a:off x="9076413" y="2140253"/>
          <a:ext cx="1474968" cy="366823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plaf.+ ossature</a:t>
          </a:r>
        </a:p>
      </xdr:txBody>
    </xdr:sp>
    <xdr:clientData/>
  </xdr:twoCellAnchor>
  <xdr:twoCellAnchor>
    <xdr:from>
      <xdr:col>1</xdr:col>
      <xdr:colOff>836</xdr:colOff>
      <xdr:row>25</xdr:row>
      <xdr:rowOff>2803</xdr:rowOff>
    </xdr:from>
    <xdr:to>
      <xdr:col>6</xdr:col>
      <xdr:colOff>11408</xdr:colOff>
      <xdr:row>26</xdr:row>
      <xdr:rowOff>188045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8E99A048-039D-4B94-80FB-03E7D4AC53CD}"/>
            </a:ext>
          </a:extLst>
        </xdr:cNvPr>
        <xdr:cNvSpPr/>
      </xdr:nvSpPr>
      <xdr:spPr>
        <a:xfrm>
          <a:off x="780064" y="3803526"/>
          <a:ext cx="3063873" cy="37607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6</xdr:col>
      <xdr:colOff>15275</xdr:colOff>
      <xdr:row>25</xdr:row>
      <xdr:rowOff>4612</xdr:rowOff>
    </xdr:from>
    <xdr:to>
      <xdr:col>6</xdr:col>
      <xdr:colOff>1180140</xdr:colOff>
      <xdr:row>26</xdr:row>
      <xdr:rowOff>187743</xdr:rowOff>
    </xdr:to>
    <xdr:sp macro="" textlink="">
      <xdr:nvSpPr>
        <xdr:cNvPr id="11" name="Rectangle : coins arrondis 10">
          <a:extLst>
            <a:ext uri="{FF2B5EF4-FFF2-40B4-BE49-F238E27FC236}">
              <a16:creationId xmlns:a16="http://schemas.microsoft.com/office/drawing/2014/main" id="{1BFF05A3-F611-4F5D-8B42-0EBE25217FF0}"/>
            </a:ext>
          </a:extLst>
        </xdr:cNvPr>
        <xdr:cNvSpPr/>
      </xdr:nvSpPr>
      <xdr:spPr>
        <a:xfrm>
          <a:off x="3847804" y="3805335"/>
          <a:ext cx="1164865" cy="373963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6</xdr:col>
      <xdr:colOff>1192695</xdr:colOff>
      <xdr:row>25</xdr:row>
      <xdr:rowOff>541</xdr:rowOff>
    </xdr:from>
    <xdr:to>
      <xdr:col>9</xdr:col>
      <xdr:colOff>0</xdr:colOff>
      <xdr:row>26</xdr:row>
      <xdr:rowOff>186159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3931D2B-FCC1-4E59-8ABB-D5584DED5053}"/>
            </a:ext>
          </a:extLst>
        </xdr:cNvPr>
        <xdr:cNvSpPr/>
      </xdr:nvSpPr>
      <xdr:spPr>
        <a:xfrm>
          <a:off x="5025224" y="3801264"/>
          <a:ext cx="1057524" cy="3764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1051722</xdr:colOff>
      <xdr:row>25</xdr:row>
      <xdr:rowOff>1047</xdr:rowOff>
    </xdr:from>
    <xdr:to>
      <xdr:col>16</xdr:col>
      <xdr:colOff>11299</xdr:colOff>
      <xdr:row>26</xdr:row>
      <xdr:rowOff>186664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A786AF94-9332-4304-ACC0-6EC0268898AA}"/>
            </a:ext>
          </a:extLst>
        </xdr:cNvPr>
        <xdr:cNvSpPr/>
      </xdr:nvSpPr>
      <xdr:spPr>
        <a:xfrm>
          <a:off x="6076946" y="3801770"/>
          <a:ext cx="2036732" cy="376449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25</xdr:row>
      <xdr:rowOff>7528</xdr:rowOff>
    </xdr:from>
    <xdr:to>
      <xdr:col>16</xdr:col>
      <xdr:colOff>978010</xdr:colOff>
      <xdr:row>26</xdr:row>
      <xdr:rowOff>193145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095BFE91-AC4E-4D9F-99A7-4CBEE1F339D1}"/>
            </a:ext>
          </a:extLst>
        </xdr:cNvPr>
        <xdr:cNvSpPr/>
      </xdr:nvSpPr>
      <xdr:spPr>
        <a:xfrm>
          <a:off x="8102378" y="3808251"/>
          <a:ext cx="978011" cy="376449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oneCellAnchor>
    <xdr:from>
      <xdr:col>16</xdr:col>
      <xdr:colOff>973825</xdr:colOff>
      <xdr:row>25</xdr:row>
      <xdr:rowOff>7893</xdr:rowOff>
    </xdr:from>
    <xdr:ext cx="1465970" cy="374400"/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39950439-CDE0-425E-9FA2-7889CDECB00F}"/>
            </a:ext>
          </a:extLst>
        </xdr:cNvPr>
        <xdr:cNvSpPr/>
      </xdr:nvSpPr>
      <xdr:spPr>
        <a:xfrm>
          <a:off x="9076204" y="3808616"/>
          <a:ext cx="1465970" cy="3744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spAutoFit/>
        </a:bodyPr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 + ossature</a:t>
          </a:r>
        </a:p>
      </xdr:txBody>
    </xdr:sp>
    <xdr:clientData/>
  </xdr:oneCellAnchor>
  <xdr:twoCellAnchor>
    <xdr:from>
      <xdr:col>6</xdr:col>
      <xdr:colOff>172058</xdr:colOff>
      <xdr:row>32</xdr:row>
      <xdr:rowOff>196818</xdr:rowOff>
    </xdr:from>
    <xdr:to>
      <xdr:col>8</xdr:col>
      <xdr:colOff>1013174</xdr:colOff>
      <xdr:row>35</xdr:row>
      <xdr:rowOff>8113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312B27C6-594C-4A91-A0E6-DA75DCA2C0F4}"/>
            </a:ext>
          </a:extLst>
        </xdr:cNvPr>
        <xdr:cNvSpPr/>
      </xdr:nvSpPr>
      <xdr:spPr>
        <a:xfrm>
          <a:off x="4004587" y="5182286"/>
          <a:ext cx="2033811" cy="40764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TOTAL PLANCHER </a:t>
          </a:r>
        </a:p>
      </xdr:txBody>
    </xdr:sp>
    <xdr:clientData/>
  </xdr:twoCellAnchor>
  <xdr:twoCellAnchor>
    <xdr:from>
      <xdr:col>6</xdr:col>
      <xdr:colOff>680371</xdr:colOff>
      <xdr:row>7</xdr:row>
      <xdr:rowOff>83982</xdr:rowOff>
    </xdr:from>
    <xdr:to>
      <xdr:col>11</xdr:col>
      <xdr:colOff>180339</xdr:colOff>
      <xdr:row>12</xdr:row>
      <xdr:rowOff>229521</xdr:rowOff>
    </xdr:to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3D5E39EC-E5A5-4553-A5E3-75AB0A1024F4}"/>
            </a:ext>
          </a:extLst>
        </xdr:cNvPr>
        <xdr:cNvSpPr/>
      </xdr:nvSpPr>
      <xdr:spPr>
        <a:xfrm>
          <a:off x="4512900" y="465645"/>
          <a:ext cx="2863369" cy="114740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PLANCHER                     </a:t>
          </a:r>
          <a:r>
            <a:rPr lang="fr-FR" sz="1600" b="1" i="0" baseline="0">
              <a:ln cap="flat" cmpd="sng">
                <a:noFill/>
              </a:ln>
              <a:solidFill>
                <a:schemeClr val="tx1"/>
              </a:solidFill>
            </a:rPr>
            <a:t>          </a:t>
          </a:r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 TOITURE TERRASSE</a:t>
          </a:r>
        </a:p>
      </xdr:txBody>
    </xdr:sp>
    <xdr:clientData/>
  </xdr:twoCellAnchor>
  <xdr:oneCellAnchor>
    <xdr:from>
      <xdr:col>2</xdr:col>
      <xdr:colOff>397565</xdr:colOff>
      <xdr:row>9</xdr:row>
      <xdr:rowOff>87464</xdr:rowOff>
    </xdr:from>
    <xdr:ext cx="901722" cy="342786"/>
    <xdr:sp macro="" textlink="">
      <xdr:nvSpPr>
        <xdr:cNvPr id="18" name="ZoneText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2C1D5-1AC1-44DF-A70B-4630825F4732}"/>
            </a:ext>
          </a:extLst>
        </xdr:cNvPr>
        <xdr:cNvSpPr txBox="1"/>
      </xdr:nvSpPr>
      <xdr:spPr>
        <a:xfrm>
          <a:off x="3671632" y="1883523"/>
          <a:ext cx="901722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 anchorCtr="1">
          <a:spAutoFit/>
        </a:bodyPr>
        <a:lstStyle/>
        <a:p>
          <a:r>
            <a:rPr lang="fr-FR" sz="1600" b="1" baseline="0"/>
            <a:t>ACCUEIL</a:t>
          </a:r>
          <a:endParaRPr lang="fr-FR" sz="1600" b="1"/>
        </a:p>
      </xdr:txBody>
    </xdr:sp>
    <xdr:clientData/>
  </xdr:oneCellAnchor>
  <xdr:twoCellAnchor editAs="oneCell">
    <xdr:from>
      <xdr:col>0</xdr:col>
      <xdr:colOff>120837</xdr:colOff>
      <xdr:row>0</xdr:row>
      <xdr:rowOff>170561</xdr:rowOff>
    </xdr:from>
    <xdr:to>
      <xdr:col>1</xdr:col>
      <xdr:colOff>331076</xdr:colOff>
      <xdr:row>4</xdr:row>
      <xdr:rowOff>21338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BA4F4A80-0C8C-4061-A776-0F9ACC2B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37" y="170561"/>
          <a:ext cx="1598918" cy="609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271722</xdr:colOff>
      <xdr:row>40</xdr:row>
      <xdr:rowOff>150783</xdr:rowOff>
    </xdr:from>
    <xdr:to>
      <xdr:col>19</xdr:col>
      <xdr:colOff>444993</xdr:colOff>
      <xdr:row>46</xdr:row>
      <xdr:rowOff>148207</xdr:rowOff>
    </xdr:to>
    <xdr:pic>
      <xdr:nvPicPr>
        <xdr:cNvPr id="21" name="Image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C55D74-89DC-4E9D-B8F4-A8ACB3C9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3355" y="7858871"/>
          <a:ext cx="1950622" cy="1119961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76200" dir="2400000" algn="ctr" rotWithShape="0">
            <a:schemeClr val="bg2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369567</xdr:colOff>
      <xdr:row>19</xdr:row>
      <xdr:rowOff>44796</xdr:rowOff>
    </xdr:from>
    <xdr:to>
      <xdr:col>0</xdr:col>
      <xdr:colOff>1015611</xdr:colOff>
      <xdr:row>19</xdr:row>
      <xdr:rowOff>164066</xdr:rowOff>
    </xdr:to>
    <xdr:sp macro="" textlink="">
      <xdr:nvSpPr>
        <xdr:cNvPr id="23" name="Flèche : droite 22">
          <a:extLst>
            <a:ext uri="{FF2B5EF4-FFF2-40B4-BE49-F238E27FC236}">
              <a16:creationId xmlns:a16="http://schemas.microsoft.com/office/drawing/2014/main" id="{A1E436EC-26C9-4379-AAF5-FD3D41E2A94A}"/>
            </a:ext>
          </a:extLst>
        </xdr:cNvPr>
        <xdr:cNvSpPr/>
      </xdr:nvSpPr>
      <xdr:spPr>
        <a:xfrm>
          <a:off x="369567" y="2620571"/>
          <a:ext cx="646044" cy="11927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508885</xdr:colOff>
      <xdr:row>4</xdr:row>
      <xdr:rowOff>170299</xdr:rowOff>
    </xdr:from>
    <xdr:to>
      <xdr:col>7</xdr:col>
      <xdr:colOff>382139</xdr:colOff>
      <xdr:row>18</xdr:row>
      <xdr:rowOff>12922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685C97D-EE2F-5DED-5847-3F49A5316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756" y="973381"/>
          <a:ext cx="3919929" cy="2514261"/>
        </a:xfrm>
        <a:prstGeom prst="rect">
          <a:avLst/>
        </a:prstGeom>
      </xdr:spPr>
    </xdr:pic>
    <xdr:clientData/>
  </xdr:twoCellAnchor>
  <xdr:oneCellAnchor>
    <xdr:from>
      <xdr:col>0</xdr:col>
      <xdr:colOff>620202</xdr:colOff>
      <xdr:row>9</xdr:row>
      <xdr:rowOff>1</xdr:rowOff>
    </xdr:from>
    <xdr:ext cx="818109" cy="342786"/>
    <xdr:sp macro="" textlink="">
      <xdr:nvSpPr>
        <xdr:cNvPr id="5" name="ZoneText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9DB2AC-B7DD-4973-9AAB-4E5BCC7CC776}"/>
            </a:ext>
          </a:extLst>
        </xdr:cNvPr>
        <xdr:cNvSpPr txBox="1"/>
      </xdr:nvSpPr>
      <xdr:spPr>
        <a:xfrm>
          <a:off x="620202" y="1757239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twoCellAnchor editAs="oneCell">
    <xdr:from>
      <xdr:col>0</xdr:col>
      <xdr:colOff>135172</xdr:colOff>
      <xdr:row>0</xdr:row>
      <xdr:rowOff>135173</xdr:rowOff>
    </xdr:from>
    <xdr:to>
      <xdr:col>2</xdr:col>
      <xdr:colOff>163629</xdr:colOff>
      <xdr:row>3</xdr:row>
      <xdr:rowOff>123894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BE81D8F-E5D5-490E-9FF9-DB474AA8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72" y="135173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826580</xdr:colOff>
      <xdr:row>5</xdr:row>
      <xdr:rowOff>87464</xdr:rowOff>
    </xdr:from>
    <xdr:to>
      <xdr:col>6</xdr:col>
      <xdr:colOff>737530</xdr:colOff>
      <xdr:row>17</xdr:row>
      <xdr:rowOff>79524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E02DB3F-068F-ACF5-EA6F-08D68213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0451" y="1081377"/>
          <a:ext cx="3218693" cy="2282036"/>
        </a:xfrm>
        <a:prstGeom prst="rect">
          <a:avLst/>
        </a:prstGeom>
      </xdr:spPr>
    </xdr:pic>
    <xdr:clientData/>
  </xdr:twoCellAnchor>
  <xdr:oneCellAnchor>
    <xdr:from>
      <xdr:col>0</xdr:col>
      <xdr:colOff>731520</xdr:colOff>
      <xdr:row>9</xdr:row>
      <xdr:rowOff>63610</xdr:rowOff>
    </xdr:from>
    <xdr:ext cx="818109" cy="342786"/>
    <xdr:sp macro="" textlink="">
      <xdr:nvSpPr>
        <xdr:cNvPr id="5" name="ZoneText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1EFCFA-8CE6-49E3-9910-F51BD535706E}"/>
            </a:ext>
          </a:extLst>
        </xdr:cNvPr>
        <xdr:cNvSpPr txBox="1"/>
      </xdr:nvSpPr>
      <xdr:spPr>
        <a:xfrm>
          <a:off x="731520" y="1820848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twoCellAnchor editAs="oneCell">
    <xdr:from>
      <xdr:col>0</xdr:col>
      <xdr:colOff>190832</xdr:colOff>
      <xdr:row>1</xdr:row>
      <xdr:rowOff>0</xdr:rowOff>
    </xdr:from>
    <xdr:to>
      <xdr:col>2</xdr:col>
      <xdr:colOff>219289</xdr:colOff>
      <xdr:row>3</xdr:row>
      <xdr:rowOff>179552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4D6F52C-D276-4F32-8407-E1FCCE24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32" y="190831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567951</xdr:colOff>
      <xdr:row>11</xdr:row>
      <xdr:rowOff>11632</xdr:rowOff>
    </xdr:from>
    <xdr:to>
      <xdr:col>16</xdr:col>
      <xdr:colOff>832614</xdr:colOff>
      <xdr:row>23</xdr:row>
      <xdr:rowOff>32941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70E0E4-DD38-3DA5-E051-49BB653A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875" y="2249356"/>
          <a:ext cx="3933624" cy="2338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522514</xdr:colOff>
      <xdr:row>10</xdr:row>
      <xdr:rowOff>109889</xdr:rowOff>
    </xdr:from>
    <xdr:to>
      <xdr:col>6</xdr:col>
      <xdr:colOff>722432</xdr:colOff>
      <xdr:row>23</xdr:row>
      <xdr:rowOff>134037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67E96E8-7048-E851-C149-D055AEC7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721" y="2154510"/>
          <a:ext cx="3800724" cy="2534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204461</xdr:colOff>
      <xdr:row>1</xdr:row>
      <xdr:rowOff>11359</xdr:rowOff>
    </xdr:from>
    <xdr:to>
      <xdr:col>12</xdr:col>
      <xdr:colOff>228372</xdr:colOff>
      <xdr:row>4</xdr:row>
      <xdr:rowOff>357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683289C-8110-42D9-B132-2F5DCBE7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178" y="204462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163759</xdr:rowOff>
    </xdr:from>
    <xdr:to>
      <xdr:col>2</xdr:col>
      <xdr:colOff>176313</xdr:colOff>
      <xdr:row>3</xdr:row>
      <xdr:rowOff>145664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86B21C5-2532-4116-91CB-B13B2E7C4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63759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204461</xdr:colOff>
      <xdr:row>16</xdr:row>
      <xdr:rowOff>22718</xdr:rowOff>
    </xdr:from>
    <xdr:ext cx="818109" cy="342786"/>
    <xdr:sp macro="" textlink="">
      <xdr:nvSpPr>
        <xdr:cNvPr id="8" name="ZoneText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660259-75B3-45AA-9AD3-D5B8D3B6DC90}"/>
            </a:ext>
          </a:extLst>
        </xdr:cNvPr>
        <xdr:cNvSpPr txBox="1"/>
      </xdr:nvSpPr>
      <xdr:spPr>
        <a:xfrm>
          <a:off x="204461" y="3260035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oneCellAnchor>
    <xdr:from>
      <xdr:col>10</xdr:col>
      <xdr:colOff>300066</xdr:colOff>
      <xdr:row>16</xdr:row>
      <xdr:rowOff>4733</xdr:rowOff>
    </xdr:from>
    <xdr:ext cx="818109" cy="342786"/>
    <xdr:sp macro="" textlink="">
      <xdr:nvSpPr>
        <xdr:cNvPr id="9" name="ZoneText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D671BF-B44E-418F-9783-92907179983E}"/>
            </a:ext>
          </a:extLst>
        </xdr:cNvPr>
        <xdr:cNvSpPr txBox="1"/>
      </xdr:nvSpPr>
      <xdr:spPr>
        <a:xfrm>
          <a:off x="9023783" y="3242050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204461</xdr:colOff>
      <xdr:row>1</xdr:row>
      <xdr:rowOff>11359</xdr:rowOff>
    </xdr:from>
    <xdr:to>
      <xdr:col>12</xdr:col>
      <xdr:colOff>228372</xdr:colOff>
      <xdr:row>4</xdr:row>
      <xdr:rowOff>357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36DC4B-BBE9-4A2F-B6A2-ECF3EECB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087" y="202190"/>
          <a:ext cx="1677782" cy="561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163759</xdr:rowOff>
    </xdr:from>
    <xdr:to>
      <xdr:col>2</xdr:col>
      <xdr:colOff>176313</xdr:colOff>
      <xdr:row>3</xdr:row>
      <xdr:rowOff>145664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6B7A975-63C5-4E23-889D-1995646D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63759"/>
          <a:ext cx="1677785" cy="55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204461</xdr:colOff>
      <xdr:row>16</xdr:row>
      <xdr:rowOff>22718</xdr:rowOff>
    </xdr:from>
    <xdr:ext cx="818109" cy="342786"/>
    <xdr:sp macro="" textlink="">
      <xdr:nvSpPr>
        <xdr:cNvPr id="6" name="ZoneText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FE52AA-741A-48EE-898B-5A16F6637F44}"/>
            </a:ext>
          </a:extLst>
        </xdr:cNvPr>
        <xdr:cNvSpPr txBox="1"/>
      </xdr:nvSpPr>
      <xdr:spPr>
        <a:xfrm>
          <a:off x="204461" y="3219142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oneCellAnchor>
    <xdr:from>
      <xdr:col>10</xdr:col>
      <xdr:colOff>300066</xdr:colOff>
      <xdr:row>16</xdr:row>
      <xdr:rowOff>4733</xdr:rowOff>
    </xdr:from>
    <xdr:ext cx="818109" cy="342786"/>
    <xdr:sp macro="" textlink="">
      <xdr:nvSpPr>
        <xdr:cNvPr id="7" name="ZoneText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38C0B9-1098-4CE3-B96E-647F9BDF2047}"/>
            </a:ext>
          </a:extLst>
        </xdr:cNvPr>
        <xdr:cNvSpPr txBox="1"/>
      </xdr:nvSpPr>
      <xdr:spPr>
        <a:xfrm>
          <a:off x="8688692" y="3201157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twoCellAnchor editAs="oneCell">
    <xdr:from>
      <xdr:col>1</xdr:col>
      <xdr:colOff>389613</xdr:colOff>
      <xdr:row>11</xdr:row>
      <xdr:rowOff>162295</xdr:rowOff>
    </xdr:from>
    <xdr:to>
      <xdr:col>6</xdr:col>
      <xdr:colOff>699717</xdr:colOff>
      <xdr:row>23</xdr:row>
      <xdr:rowOff>5024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038C0AA-FD68-88A1-F450-CAF5F96CC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48" y="2362157"/>
          <a:ext cx="3888191" cy="206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598998</xdr:colOff>
      <xdr:row>10</xdr:row>
      <xdr:rowOff>183710</xdr:rowOff>
    </xdr:from>
    <xdr:to>
      <xdr:col>16</xdr:col>
      <xdr:colOff>758024</xdr:colOff>
      <xdr:row>22</xdr:row>
      <xdr:rowOff>10601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26B95C5-6980-820F-184D-BCDA3A6D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03" y="2198040"/>
          <a:ext cx="3790121" cy="2053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826052</xdr:colOff>
      <xdr:row>10</xdr:row>
      <xdr:rowOff>87464</xdr:rowOff>
    </xdr:from>
    <xdr:to>
      <xdr:col>7</xdr:col>
      <xdr:colOff>1256582</xdr:colOff>
      <xdr:row>24</xdr:row>
      <xdr:rowOff>135958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BE602B-FEBA-D096-CEEE-9CF27838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991" y="2137134"/>
          <a:ext cx="4494254" cy="2769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111318</xdr:colOff>
      <xdr:row>1</xdr:row>
      <xdr:rowOff>55659</xdr:rowOff>
    </xdr:from>
    <xdr:to>
      <xdr:col>2</xdr:col>
      <xdr:colOff>139775</xdr:colOff>
      <xdr:row>4</xdr:row>
      <xdr:rowOff>44380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943E8D-5CFC-4E6B-AF03-CA8E9A1D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18" y="246490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75095</xdr:colOff>
      <xdr:row>15</xdr:row>
      <xdr:rowOff>193482</xdr:rowOff>
    </xdr:from>
    <xdr:ext cx="818109" cy="342786"/>
    <xdr:sp macro="" textlink="">
      <xdr:nvSpPr>
        <xdr:cNvPr id="4" name="ZoneText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BF71CE-CB06-4985-A42F-526881BF462E}"/>
            </a:ext>
          </a:extLst>
        </xdr:cNvPr>
        <xdr:cNvSpPr txBox="1"/>
      </xdr:nvSpPr>
      <xdr:spPr>
        <a:xfrm>
          <a:off x="905565" y="3214978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EE41-0057-44C8-9D55-424CC19EE496}">
  <sheetPr codeName="Feuil1"/>
  <dimension ref="B5"/>
  <sheetViews>
    <sheetView showGridLines="0" showRowColHeaders="0" tabSelected="1" workbookViewId="0"/>
  </sheetViews>
  <sheetFormatPr baseColWidth="10" defaultRowHeight="15.05" x14ac:dyDescent="0.3"/>
  <sheetData>
    <row r="5" spans="2:2" x14ac:dyDescent="0.3">
      <c r="B5" s="139" t="s">
        <v>220</v>
      </c>
    </row>
  </sheetData>
  <sheetProtection algorithmName="SHA-512" hashValue="gKXTmaCJTjthxjJroOXmpIzvq+KtSpVxsp+8b7smaf7bCK/Bn2Wu36/5tt1+1TNWnLPzi7mlHLIRS2Rojnm7iw==" saltValue="8pWWdzCy2ZR5023isHDUL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2DE7-ECB6-43E7-BAA2-9446A465F480}">
  <sheetPr codeName="Feuil2"/>
  <dimension ref="B3:BE65"/>
  <sheetViews>
    <sheetView showGridLines="0" showRowColHeaders="0" zoomScale="90" zoomScaleNormal="90" workbookViewId="0"/>
  </sheetViews>
  <sheetFormatPr baseColWidth="10" defaultColWidth="10.88671875" defaultRowHeight="15.05" x14ac:dyDescent="0.3"/>
  <cols>
    <col min="3" max="3" width="4.33203125" customWidth="1"/>
    <col min="4" max="4" width="34.21875" customWidth="1"/>
    <col min="5" max="5" width="5.109375" hidden="1" customWidth="1"/>
    <col min="6" max="6" width="7.21875" hidden="1" customWidth="1"/>
    <col min="7" max="7" width="8.6640625" hidden="1" customWidth="1"/>
    <col min="8" max="8" width="24.33203125" customWidth="1"/>
    <col min="9" max="9" width="8.6640625" hidden="1" customWidth="1"/>
    <col min="10" max="10" width="14.77734375" style="66" customWidth="1"/>
    <col min="11" max="11" width="8.77734375" hidden="1" customWidth="1"/>
    <col min="12" max="12" width="15.5546875" customWidth="1"/>
    <col min="13" max="13" width="10.77734375" customWidth="1"/>
    <col min="14" max="14" width="7.109375" style="66" hidden="1" customWidth="1"/>
    <col min="15" max="15" width="8.77734375" hidden="1" customWidth="1"/>
    <col min="16" max="16" width="10.88671875" hidden="1" customWidth="1"/>
    <col min="17" max="17" width="16.88671875" customWidth="1"/>
    <col min="18" max="18" width="8.5546875" hidden="1" customWidth="1"/>
    <col min="19" max="19" width="5.6640625" hidden="1" customWidth="1"/>
    <col min="20" max="20" width="10.88671875" hidden="1" customWidth="1"/>
    <col min="21" max="21" width="3.6640625" customWidth="1"/>
    <col min="23" max="23" width="10.88671875" customWidth="1"/>
    <col min="24" max="26" width="10.88671875" hidden="1" customWidth="1"/>
    <col min="27" max="27" width="26.44140625" hidden="1" customWidth="1"/>
    <col min="28" max="34" width="10.88671875" hidden="1" customWidth="1"/>
    <col min="35" max="35" width="22.21875" hidden="1" customWidth="1"/>
    <col min="36" max="37" width="10.88671875" hidden="1" customWidth="1"/>
    <col min="38" max="38" width="19.21875" hidden="1" customWidth="1"/>
    <col min="39" max="57" width="10.88671875" hidden="1" customWidth="1"/>
    <col min="58" max="59" width="10.88671875" customWidth="1"/>
  </cols>
  <sheetData>
    <row r="3" spans="2:56" ht="20.05" customHeight="1" x14ac:dyDescent="0.3"/>
    <row r="5" spans="2:56" ht="20.05" customHeight="1" x14ac:dyDescent="0.3">
      <c r="B5" s="179">
        <f ca="1">TODAY()</f>
        <v>45237</v>
      </c>
      <c r="D5" s="200" t="s">
        <v>202</v>
      </c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2"/>
    </row>
    <row r="9" spans="2:56" x14ac:dyDescent="0.3">
      <c r="B9" s="135"/>
    </row>
    <row r="10" spans="2:56" ht="18.2" x14ac:dyDescent="0.35">
      <c r="B10" s="124"/>
      <c r="G10" s="83"/>
      <c r="I10" s="83"/>
      <c r="J10" s="84"/>
      <c r="K10" s="83"/>
      <c r="L10" s="83"/>
      <c r="M10" s="83"/>
      <c r="N10" s="83"/>
      <c r="O10" s="83"/>
      <c r="Q10" s="85"/>
      <c r="AJ10" s="66" t="s">
        <v>83</v>
      </c>
      <c r="AK10" s="66" t="s">
        <v>0</v>
      </c>
    </row>
    <row r="11" spans="2:56" x14ac:dyDescent="0.3">
      <c r="G11" s="215"/>
      <c r="H11" s="215"/>
      <c r="AF11" s="67" t="s">
        <v>84</v>
      </c>
      <c r="AG11" s="67"/>
      <c r="AH11" s="67"/>
      <c r="AI11" s="67"/>
      <c r="AJ11">
        <v>8.94</v>
      </c>
      <c r="AK11" s="68">
        <v>2.6</v>
      </c>
      <c r="AM11" t="s">
        <v>85</v>
      </c>
      <c r="AO11">
        <v>4.26</v>
      </c>
      <c r="AP11" s="69">
        <v>1.3</v>
      </c>
      <c r="AQ11" t="s">
        <v>147</v>
      </c>
    </row>
    <row r="12" spans="2:56" ht="15.65" thickBot="1" x14ac:dyDescent="0.35">
      <c r="AF12" s="67" t="s">
        <v>86</v>
      </c>
      <c r="AG12" s="67"/>
      <c r="AH12" s="67"/>
      <c r="AI12" s="67"/>
      <c r="AJ12">
        <v>12.1</v>
      </c>
      <c r="AK12" s="68">
        <v>3.7</v>
      </c>
      <c r="AM12" t="s">
        <v>87</v>
      </c>
      <c r="AO12">
        <v>6.48</v>
      </c>
      <c r="AP12" s="69">
        <v>2.2000000000000002</v>
      </c>
      <c r="AQ12" t="s">
        <v>148</v>
      </c>
      <c r="AV12" s="1"/>
      <c r="AW12" s="5" t="s">
        <v>46</v>
      </c>
      <c r="AX12" s="5" t="s">
        <v>49</v>
      </c>
      <c r="AY12" s="5" t="s">
        <v>47</v>
      </c>
      <c r="AZ12" s="5" t="s">
        <v>50</v>
      </c>
      <c r="BA12" s="5" t="s">
        <v>67</v>
      </c>
      <c r="BB12" s="5" t="s">
        <v>68</v>
      </c>
      <c r="BC12" s="1" t="s">
        <v>48</v>
      </c>
      <c r="BD12" s="1"/>
    </row>
    <row r="13" spans="2:56" x14ac:dyDescent="0.3">
      <c r="D13" s="102"/>
      <c r="E13" s="103"/>
      <c r="F13" s="103"/>
      <c r="G13" s="103"/>
      <c r="H13" s="103"/>
      <c r="I13" s="103"/>
      <c r="J13" s="104"/>
      <c r="K13" s="103"/>
      <c r="L13" s="103"/>
      <c r="M13" s="103"/>
      <c r="N13" s="104"/>
      <c r="O13" s="103"/>
      <c r="P13" s="103"/>
      <c r="Q13" s="105"/>
      <c r="R13" s="105"/>
      <c r="AF13" s="78" t="s">
        <v>5</v>
      </c>
      <c r="AG13" s="78"/>
      <c r="AH13" s="78"/>
      <c r="AJ13">
        <v>0</v>
      </c>
      <c r="AK13" s="68">
        <v>0</v>
      </c>
      <c r="AM13" t="s">
        <v>89</v>
      </c>
      <c r="AO13">
        <v>6.7</v>
      </c>
      <c r="AP13" s="69">
        <v>2.6</v>
      </c>
      <c r="AQ13" t="s">
        <v>149</v>
      </c>
      <c r="AV13" s="1" t="s">
        <v>105</v>
      </c>
      <c r="AW13" s="1">
        <v>6.3E-2</v>
      </c>
      <c r="AX13" s="1">
        <v>6.7000000000000004E-2</v>
      </c>
      <c r="AY13" s="1">
        <v>6.3E-2</v>
      </c>
      <c r="AZ13" s="1">
        <v>6.7000000000000004E-2</v>
      </c>
      <c r="BA13" s="1"/>
      <c r="BB13" s="1"/>
      <c r="BC13" s="1">
        <f>+(M17-5)/100</f>
        <v>0</v>
      </c>
      <c r="BD13" s="1">
        <f>+IF(D17=AN28,IF(L19=AS28,AW13,AX13),IF(L18=AS28,AY13,AZ13))+BC13</f>
        <v>6.3E-2</v>
      </c>
    </row>
    <row r="14" spans="2:56" x14ac:dyDescent="0.3">
      <c r="D14" s="198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11"/>
      <c r="R14" s="111"/>
      <c r="T14" s="189" t="s">
        <v>34</v>
      </c>
      <c r="V14" s="191" t="s">
        <v>129</v>
      </c>
      <c r="AF14" t="s">
        <v>85</v>
      </c>
      <c r="AJ14">
        <v>4.26</v>
      </c>
      <c r="AK14" s="69">
        <v>1.3</v>
      </c>
      <c r="AM14" t="s">
        <v>90</v>
      </c>
      <c r="AO14">
        <v>7.7</v>
      </c>
      <c r="AP14" s="69">
        <v>3.15</v>
      </c>
      <c r="AQ14" t="s">
        <v>150</v>
      </c>
      <c r="AV14" s="1" t="s">
        <v>60</v>
      </c>
      <c r="AW14" s="1">
        <v>7.1999999999999995E-2</v>
      </c>
      <c r="AX14" s="1">
        <v>7.8E-2</v>
      </c>
      <c r="AY14" s="1">
        <v>7.2999999999999995E-2</v>
      </c>
      <c r="AZ14" s="1">
        <v>7.9000000000000001E-2</v>
      </c>
      <c r="BA14" s="1">
        <v>7.0000000000000007E-2</v>
      </c>
      <c r="BB14" s="5">
        <v>7.5999999999999998E-2</v>
      </c>
      <c r="BC14" s="1">
        <f>+(M17-5)/100</f>
        <v>0</v>
      </c>
      <c r="BD14" s="1">
        <f>+IF(K19=AN29,IF(L19=AS29,AW14,AX14),IF(L19=AS29,AY14,AZ14))+BC14</f>
        <v>7.1999999999999995E-2</v>
      </c>
    </row>
    <row r="15" spans="2:56" ht="14.75" customHeight="1" x14ac:dyDescent="0.3">
      <c r="D15" s="192"/>
      <c r="E15" s="99"/>
      <c r="F15" s="193" t="s">
        <v>36</v>
      </c>
      <c r="G15" s="195" t="s">
        <v>37</v>
      </c>
      <c r="H15" s="196"/>
      <c r="I15" s="197" t="s">
        <v>39</v>
      </c>
      <c r="J15" s="211"/>
      <c r="K15" s="212" t="s">
        <v>39</v>
      </c>
      <c r="L15" s="211"/>
      <c r="M15" s="100"/>
      <c r="N15" s="209" t="s">
        <v>40</v>
      </c>
      <c r="O15" s="210" t="s">
        <v>2</v>
      </c>
      <c r="P15" s="213" t="s">
        <v>39</v>
      </c>
      <c r="Q15" s="214"/>
      <c r="S15" s="188" t="s">
        <v>41</v>
      </c>
      <c r="T15" s="190"/>
      <c r="V15" s="191"/>
      <c r="X15" s="70" t="s">
        <v>91</v>
      </c>
      <c r="Y15" s="70" t="s">
        <v>92</v>
      </c>
      <c r="AF15" t="s">
        <v>87</v>
      </c>
      <c r="AJ15">
        <v>6.48</v>
      </c>
      <c r="AK15" s="69">
        <v>2.2000000000000002</v>
      </c>
      <c r="AM15" t="s">
        <v>93</v>
      </c>
      <c r="AO15">
        <v>9.2799999999999994</v>
      </c>
      <c r="AP15" s="69">
        <v>3.7</v>
      </c>
      <c r="AQ15" t="s">
        <v>151</v>
      </c>
      <c r="AV15" s="1" t="s">
        <v>61</v>
      </c>
      <c r="AW15" s="1">
        <v>9.1999999999999998E-2</v>
      </c>
      <c r="AX15" s="1">
        <v>0.10299999999999999</v>
      </c>
      <c r="AY15" s="1">
        <v>9.4E-2</v>
      </c>
      <c r="AZ15" s="1">
        <v>0.106</v>
      </c>
      <c r="BA15" s="1">
        <v>9.1999999999999998E-2</v>
      </c>
      <c r="BB15" s="1">
        <v>0.10199999999999999</v>
      </c>
      <c r="BC15" s="1">
        <f>+(M17-5)/100</f>
        <v>0</v>
      </c>
      <c r="BD15" s="1">
        <f>+IF(K19=AN29,IF(L19=AS29,AW15,AX15),IF(L19=AS29,AY15,AZ15))+BC15</f>
        <v>9.1999999999999998E-2</v>
      </c>
    </row>
    <row r="16" spans="2:56" ht="15.65" thickBot="1" x14ac:dyDescent="0.35">
      <c r="B16" s="138" t="s">
        <v>158</v>
      </c>
      <c r="D16" s="192"/>
      <c r="E16" s="101"/>
      <c r="F16" s="194"/>
      <c r="G16" s="195"/>
      <c r="H16" s="196"/>
      <c r="I16" s="197"/>
      <c r="J16" s="211"/>
      <c r="K16" s="212"/>
      <c r="L16" s="211"/>
      <c r="M16" s="100"/>
      <c r="N16" s="209"/>
      <c r="O16" s="210"/>
      <c r="P16" s="213"/>
      <c r="Q16" s="214"/>
      <c r="S16" s="188"/>
      <c r="T16" s="71" t="s">
        <v>42</v>
      </c>
      <c r="U16" s="66"/>
      <c r="V16" s="96" t="s">
        <v>43</v>
      </c>
      <c r="AA16" t="s">
        <v>1</v>
      </c>
      <c r="AB16" s="67" t="s">
        <v>2</v>
      </c>
      <c r="AF16" t="s">
        <v>89</v>
      </c>
      <c r="AJ16">
        <v>6.7</v>
      </c>
      <c r="AK16" s="69">
        <v>2.6</v>
      </c>
      <c r="AM16" t="s">
        <v>94</v>
      </c>
      <c r="AO16">
        <v>11.2</v>
      </c>
      <c r="AP16" s="69">
        <v>4.6500000000000004</v>
      </c>
      <c r="AQ16" t="s">
        <v>152</v>
      </c>
      <c r="AV16" s="1"/>
      <c r="AW16" s="1"/>
      <c r="AX16" s="1"/>
      <c r="AY16" s="1"/>
      <c r="AZ16" s="1"/>
      <c r="BA16" s="1"/>
      <c r="BB16" s="1"/>
      <c r="BC16" s="1"/>
      <c r="BD16" s="1"/>
    </row>
    <row r="17" spans="4:56" ht="16.899999999999999" thickTop="1" thickBot="1" x14ac:dyDescent="0.35">
      <c r="D17" s="118" t="s">
        <v>104</v>
      </c>
      <c r="E17" s="93">
        <f t="shared" ref="E17" si="0">+VLOOKUP(D17,$AA$27:$AB$29,2,FALSE)</f>
        <v>4.09</v>
      </c>
      <c r="F17" s="91">
        <f>+IF(D17=AA27,63,IF(D17=AA29,63,66.5))</f>
        <v>63</v>
      </c>
      <c r="G17" s="112">
        <f>+E17/(F17/100)</f>
        <v>6.4920634920634921</v>
      </c>
      <c r="H17" s="119" t="s">
        <v>105</v>
      </c>
      <c r="I17" s="113">
        <f>+VLOOKUP(H17,$AA$42:$AB$62,2,FALSE)</f>
        <v>-7.66</v>
      </c>
      <c r="J17" s="94">
        <v>2</v>
      </c>
      <c r="K17" s="114">
        <f>+J17*0.722</f>
        <v>1.444</v>
      </c>
      <c r="L17" s="120" t="s">
        <v>4</v>
      </c>
      <c r="M17" s="121">
        <v>5</v>
      </c>
      <c r="N17" s="98">
        <f>IF(D17=AA27,+VLOOKUP(H17,$AA$42:$AF$62,5,FALSE),+VLOOKUP(H17,$AA$42:$AF$62,6,FALSE))*1000+AF64</f>
        <v>63</v>
      </c>
      <c r="O17" s="115">
        <f>+VLOOKUP(L17,$AA$17:$AB$18,2,FALSE)</f>
        <v>0.19700000000000001</v>
      </c>
      <c r="P17" s="116">
        <f>+O17*N17</f>
        <v>12.411000000000001</v>
      </c>
      <c r="Q17" s="122" t="s">
        <v>90</v>
      </c>
      <c r="S17" s="106">
        <f>+VLOOKUP(Q17,$AF$13:$AJ$20,5,FALSE)</f>
        <v>7.7</v>
      </c>
      <c r="T17" s="95">
        <f>+S17+P17+K17+I17+G17</f>
        <v>20.38706349206349</v>
      </c>
      <c r="V17" s="97">
        <f>+X17+Y17</f>
        <v>3.15</v>
      </c>
      <c r="X17">
        <f>+VLOOKUP($Q$17,$AF$13:$AK$20,6,FALSE)</f>
        <v>3.15</v>
      </c>
      <c r="Y17">
        <f>+VLOOKUP(H17,$AA$42:$AC$62,3,FALSE)</f>
        <v>0</v>
      </c>
      <c r="Z17">
        <v>5</v>
      </c>
      <c r="AA17" s="67" t="s">
        <v>4</v>
      </c>
      <c r="AB17" s="67">
        <v>0.19700000000000001</v>
      </c>
      <c r="AC17" s="1" t="s">
        <v>127</v>
      </c>
      <c r="AD17" t="s">
        <v>3</v>
      </c>
      <c r="AF17" t="s">
        <v>90</v>
      </c>
      <c r="AJ17">
        <v>7.7</v>
      </c>
      <c r="AK17" s="69">
        <v>3.15</v>
      </c>
      <c r="AM17" t="s">
        <v>95</v>
      </c>
      <c r="AO17">
        <v>13.3</v>
      </c>
      <c r="AP17" s="69">
        <v>5.55</v>
      </c>
      <c r="AQ17" t="s">
        <v>151</v>
      </c>
      <c r="AV17" s="1" t="s">
        <v>54</v>
      </c>
      <c r="AW17" s="1">
        <f>18.9*1.59</f>
        <v>30.050999999999998</v>
      </c>
      <c r="AX17" s="1">
        <f>1.37*18.9*2</f>
        <v>51.786000000000001</v>
      </c>
      <c r="AY17" s="1">
        <f>1.5*26.3</f>
        <v>39.450000000000003</v>
      </c>
      <c r="AZ17" s="1">
        <f>1.25*26.3*2</f>
        <v>65.75</v>
      </c>
      <c r="BA17" s="1"/>
      <c r="BB17" s="1"/>
      <c r="BC17" s="1"/>
      <c r="BD17" s="1"/>
    </row>
    <row r="18" spans="4:56" ht="16.3" thickTop="1" thickBot="1" x14ac:dyDescent="0.35">
      <c r="D18" s="167"/>
      <c r="E18" s="108"/>
      <c r="F18" s="168"/>
      <c r="G18" s="107"/>
      <c r="H18" s="108"/>
      <c r="I18" s="108"/>
      <c r="J18" s="169"/>
      <c r="K18" s="109"/>
      <c r="L18" s="108"/>
      <c r="M18" s="108"/>
      <c r="N18" s="169"/>
      <c r="O18" s="108"/>
      <c r="P18" s="109"/>
      <c r="Q18" s="110"/>
      <c r="R18" s="110"/>
      <c r="T18" s="77"/>
      <c r="V18" s="75"/>
      <c r="Z18">
        <v>6</v>
      </c>
      <c r="AA18" s="67" t="s">
        <v>192</v>
      </c>
      <c r="AB18" s="155">
        <v>0.15</v>
      </c>
      <c r="AC18" t="s">
        <v>193</v>
      </c>
      <c r="AF18" t="s">
        <v>93</v>
      </c>
      <c r="AJ18">
        <v>9.2799999999999994</v>
      </c>
      <c r="AK18" s="69">
        <v>3.7</v>
      </c>
      <c r="AM18" s="67" t="s">
        <v>96</v>
      </c>
      <c r="AN18" s="67"/>
      <c r="AO18">
        <v>15.3</v>
      </c>
      <c r="AP18" s="68">
        <v>3.7</v>
      </c>
      <c r="AQ18" t="s">
        <v>153</v>
      </c>
      <c r="AV18" s="1" t="s">
        <v>55</v>
      </c>
      <c r="AW18" s="1">
        <f>1.59*4.7</f>
        <v>7.4730000000000008</v>
      </c>
      <c r="AX18" s="1">
        <f>1.37*4.7</f>
        <v>6.4390000000000009</v>
      </c>
      <c r="AY18" s="1">
        <f>1.5*4.7</f>
        <v>7.0500000000000007</v>
      </c>
      <c r="AZ18" s="1">
        <f>1.25*4.7</f>
        <v>5.875</v>
      </c>
      <c r="BA18" s="1"/>
      <c r="BB18" s="1"/>
      <c r="BC18" s="1"/>
      <c r="BD18" s="1"/>
    </row>
    <row r="19" spans="4:56" x14ac:dyDescent="0.3">
      <c r="D19" s="170"/>
      <c r="E19" s="75"/>
      <c r="F19" s="170"/>
      <c r="G19" s="73"/>
      <c r="H19" s="75"/>
      <c r="I19" s="75"/>
      <c r="J19" s="171"/>
      <c r="K19" s="92"/>
      <c r="L19" s="75"/>
      <c r="M19" s="75"/>
      <c r="N19" s="171"/>
      <c r="O19" s="75"/>
      <c r="P19" s="92"/>
      <c r="Q19" s="75"/>
      <c r="R19" s="75"/>
      <c r="T19" s="77"/>
      <c r="V19" s="75"/>
      <c r="Z19">
        <v>7</v>
      </c>
      <c r="AF19" t="s">
        <v>94</v>
      </c>
      <c r="AJ19">
        <v>11.2</v>
      </c>
      <c r="AK19" s="69">
        <v>4.6500000000000004</v>
      </c>
      <c r="AM19" s="67" t="s">
        <v>97</v>
      </c>
      <c r="AN19" s="67"/>
      <c r="AO19">
        <v>19.5</v>
      </c>
      <c r="AP19" s="68">
        <v>4.6500000000000004</v>
      </c>
      <c r="AV19" s="1" t="s">
        <v>56</v>
      </c>
      <c r="AW19" s="1">
        <f>1.59*5.9</f>
        <v>9.3810000000000002</v>
      </c>
      <c r="AX19" s="1">
        <f>1.37*5.9</f>
        <v>8.083000000000002</v>
      </c>
      <c r="AY19" s="1">
        <f>1.5*5.9</f>
        <v>8.8500000000000014</v>
      </c>
      <c r="AZ19" s="1">
        <f>1.25*5.9</f>
        <v>7.375</v>
      </c>
      <c r="BA19" s="1"/>
      <c r="BB19" s="1"/>
      <c r="BC19" s="1"/>
      <c r="BD19" s="1"/>
    </row>
    <row r="20" spans="4:56" ht="15.65" x14ac:dyDescent="0.3">
      <c r="E20" s="180"/>
      <c r="F20" s="181"/>
      <c r="G20" s="182"/>
      <c r="I20" s="75"/>
      <c r="J20" s="171"/>
      <c r="K20" s="92"/>
      <c r="L20" s="75"/>
      <c r="M20" s="75"/>
      <c r="N20" s="171"/>
      <c r="O20" s="75"/>
      <c r="P20" s="92"/>
      <c r="Q20" s="75"/>
      <c r="R20" s="75"/>
      <c r="T20" s="77"/>
      <c r="V20" s="75"/>
      <c r="Z20">
        <v>8</v>
      </c>
      <c r="AA20" s="67"/>
      <c r="AB20" s="67"/>
      <c r="AC20" s="67"/>
      <c r="AF20" t="s">
        <v>95</v>
      </c>
      <c r="AJ20">
        <v>13.3</v>
      </c>
      <c r="AK20" s="69">
        <v>5.55</v>
      </c>
      <c r="AM20" s="67" t="s">
        <v>98</v>
      </c>
      <c r="AN20" s="67"/>
      <c r="AO20">
        <v>22.3</v>
      </c>
      <c r="AP20" s="68">
        <v>5.55</v>
      </c>
      <c r="AV20" s="27" t="s">
        <v>159</v>
      </c>
      <c r="AW20" s="27">
        <v>180</v>
      </c>
      <c r="AX20" s="27">
        <v>208</v>
      </c>
      <c r="AY20" s="27">
        <v>188</v>
      </c>
      <c r="AZ20" s="27">
        <v>221</v>
      </c>
      <c r="BA20" s="27"/>
      <c r="BB20" s="27"/>
      <c r="BC20" s="1"/>
      <c r="BD20" s="1"/>
    </row>
    <row r="21" spans="4:56" x14ac:dyDescent="0.3">
      <c r="D21" s="170"/>
      <c r="E21" s="75"/>
      <c r="F21" s="170"/>
      <c r="G21" s="73"/>
      <c r="H21" s="75"/>
      <c r="I21" s="75"/>
      <c r="J21" s="171"/>
      <c r="K21" s="92"/>
      <c r="L21" s="75"/>
      <c r="M21" s="75"/>
      <c r="N21" s="171"/>
      <c r="O21" s="75"/>
      <c r="P21" s="92"/>
      <c r="Q21" s="75"/>
      <c r="R21" s="75"/>
      <c r="T21" s="77"/>
      <c r="V21" s="75"/>
      <c r="AF21" s="67" t="s">
        <v>96</v>
      </c>
      <c r="AG21" s="67"/>
      <c r="AH21" s="67"/>
      <c r="AI21" s="67"/>
      <c r="AJ21">
        <v>15.3</v>
      </c>
      <c r="AK21" s="68">
        <v>3.7</v>
      </c>
      <c r="AM21" s="67" t="s">
        <v>99</v>
      </c>
      <c r="AN21" s="67"/>
      <c r="AO21">
        <v>19.8</v>
      </c>
      <c r="AP21" s="68">
        <v>3.15</v>
      </c>
      <c r="AV21" s="27" t="s">
        <v>69</v>
      </c>
      <c r="AW21" s="27">
        <v>200</v>
      </c>
      <c r="AX21" s="27">
        <v>234</v>
      </c>
      <c r="AY21" s="27">
        <v>209</v>
      </c>
      <c r="AZ21" s="27">
        <v>251</v>
      </c>
      <c r="BA21" s="27">
        <v>211</v>
      </c>
      <c r="BB21" s="27">
        <v>253</v>
      </c>
      <c r="BC21" s="27"/>
      <c r="BD21" s="27"/>
    </row>
    <row r="22" spans="4:56" ht="18.2" x14ac:dyDescent="0.35">
      <c r="D22" s="222" t="s">
        <v>79</v>
      </c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123"/>
      <c r="S22" s="123"/>
      <c r="T22" s="123"/>
      <c r="U22" s="123"/>
      <c r="V22" s="123"/>
      <c r="AF22" s="67" t="s">
        <v>97</v>
      </c>
      <c r="AG22" s="67"/>
      <c r="AH22" s="67"/>
      <c r="AI22" s="67"/>
      <c r="AJ22">
        <v>19.5</v>
      </c>
      <c r="AK22" s="68">
        <v>4.6500000000000004</v>
      </c>
      <c r="AM22" s="67" t="s">
        <v>84</v>
      </c>
      <c r="AN22" s="67"/>
      <c r="AO22">
        <v>8.94</v>
      </c>
      <c r="AP22" s="68">
        <v>2.6</v>
      </c>
      <c r="AV22" s="27" t="s">
        <v>70</v>
      </c>
      <c r="AW22" s="27">
        <v>259</v>
      </c>
      <c r="AX22" s="27">
        <v>302</v>
      </c>
      <c r="AY22" s="27">
        <v>271</v>
      </c>
      <c r="AZ22" s="27">
        <v>322</v>
      </c>
      <c r="BA22" s="27">
        <v>273</v>
      </c>
      <c r="BB22" s="27">
        <v>324</v>
      </c>
      <c r="BC22" s="1"/>
      <c r="BD22" s="1"/>
    </row>
    <row r="23" spans="4:56" x14ac:dyDescent="0.3">
      <c r="D23" s="170"/>
      <c r="E23" s="75"/>
      <c r="F23" s="170"/>
      <c r="G23" s="73"/>
      <c r="H23" s="75"/>
      <c r="I23" s="75"/>
      <c r="J23" s="171"/>
      <c r="K23" s="75"/>
      <c r="L23" s="75"/>
      <c r="M23" s="75"/>
      <c r="N23" s="171"/>
      <c r="O23" s="75"/>
      <c r="P23" s="75"/>
      <c r="Q23" s="75"/>
      <c r="R23" s="75"/>
      <c r="T23" s="77"/>
      <c r="V23" s="75"/>
      <c r="AF23" s="67" t="s">
        <v>98</v>
      </c>
      <c r="AG23" s="67"/>
      <c r="AH23" s="67"/>
      <c r="AI23" s="67"/>
      <c r="AJ23">
        <v>22.3</v>
      </c>
      <c r="AK23" s="68">
        <v>5.55</v>
      </c>
      <c r="AM23" s="67" t="s">
        <v>86</v>
      </c>
      <c r="AN23" s="67"/>
      <c r="AO23">
        <v>12.1</v>
      </c>
      <c r="AP23" s="68">
        <v>3.7</v>
      </c>
      <c r="AV23" s="1" t="s">
        <v>160</v>
      </c>
      <c r="AW23" s="1">
        <f>+AW20+($AT$13*2400)</f>
        <v>180</v>
      </c>
      <c r="AX23" s="1">
        <f t="shared" ref="AX23:AZ23" si="1">+AX20+($AT$13*2400)</f>
        <v>208</v>
      </c>
      <c r="AY23" s="1">
        <f t="shared" si="1"/>
        <v>188</v>
      </c>
      <c r="AZ23" s="1">
        <f t="shared" si="1"/>
        <v>221</v>
      </c>
      <c r="BA23" s="1"/>
      <c r="BB23" s="1"/>
      <c r="BC23" s="1"/>
      <c r="BD23" s="1">
        <f>+IF(K19=AN29,IF(L19=AS29,AW23,AX23),IF(L19=AS29,AY23,AZ23))</f>
        <v>180</v>
      </c>
    </row>
    <row r="24" spans="4:56" x14ac:dyDescent="0.3">
      <c r="D24" s="72"/>
      <c r="F24" s="72"/>
      <c r="G24" s="73"/>
      <c r="H24" s="74"/>
      <c r="I24" s="75"/>
      <c r="J24" s="76"/>
      <c r="K24" s="75"/>
      <c r="L24" s="74"/>
      <c r="M24" s="74"/>
      <c r="N24" s="76"/>
      <c r="O24" s="75"/>
      <c r="P24" s="75"/>
      <c r="Q24" s="74"/>
      <c r="R24" s="75"/>
      <c r="T24" s="77"/>
      <c r="V24" s="75"/>
      <c r="AF24" s="78" t="s">
        <v>5</v>
      </c>
      <c r="AG24" s="78"/>
      <c r="AH24" s="78"/>
      <c r="AJ24">
        <v>0</v>
      </c>
      <c r="AK24" s="68">
        <v>0</v>
      </c>
      <c r="AM24" s="67" t="s">
        <v>88</v>
      </c>
      <c r="AN24" s="67"/>
      <c r="AO24">
        <v>13.7</v>
      </c>
      <c r="AP24" s="68">
        <v>4.6500000000000004</v>
      </c>
      <c r="AV24" s="1" t="s">
        <v>58</v>
      </c>
      <c r="AW24" s="1">
        <f>+AW21+($AT$14*2400)</f>
        <v>200</v>
      </c>
      <c r="AX24" s="1">
        <f>+AX21+($AT$14*2400)</f>
        <v>234</v>
      </c>
      <c r="AY24" s="1">
        <f>+AY21+($AT$14*2400)</f>
        <v>209</v>
      </c>
      <c r="AZ24" s="1">
        <f>+AZ21+($AT$14*2400)</f>
        <v>251</v>
      </c>
      <c r="BA24" s="1"/>
      <c r="BB24" s="1"/>
      <c r="BC24" s="1"/>
      <c r="BD24" s="1">
        <f>+IF(K19=AN29,IF(L19=AS29,AW24,AX24),IF(L19=AS29,AY24,AZ24))</f>
        <v>200</v>
      </c>
    </row>
    <row r="25" spans="4:56" ht="15.05" customHeight="1" thickBot="1" x14ac:dyDescent="0.35">
      <c r="J25"/>
      <c r="N25"/>
      <c r="T25" s="89"/>
      <c r="V25" s="89"/>
      <c r="AF25" s="78"/>
      <c r="AG25" s="78"/>
      <c r="AH25" s="78"/>
      <c r="AK25" s="68"/>
      <c r="AV25" s="1" t="s">
        <v>57</v>
      </c>
      <c r="AW25" s="1">
        <f>+AW22+($AT$15*2400)</f>
        <v>259</v>
      </c>
      <c r="AX25" s="1">
        <f>+AX22+($AT$15*2400)</f>
        <v>302</v>
      </c>
      <c r="AY25" s="1">
        <f>+AY22+($AT$15*2400)</f>
        <v>271</v>
      </c>
      <c r="AZ25" s="1">
        <f>+AZ22+($AT$15*2400)</f>
        <v>322</v>
      </c>
      <c r="BA25" s="1"/>
      <c r="BB25" s="1"/>
      <c r="BC25" s="1"/>
      <c r="BD25" s="1">
        <f>+IF(K19=AN29,IF(L19=AS29,AW25,AX25),IF(L19=AS29,AY25,AZ25))+BC25</f>
        <v>259</v>
      </c>
    </row>
    <row r="26" spans="4:56" ht="15.05" customHeight="1" thickTop="1" thickBot="1" x14ac:dyDescent="0.35">
      <c r="D26" s="140">
        <f>+G17</f>
        <v>6.4920634920634921</v>
      </c>
      <c r="H26" s="141">
        <f>+I17</f>
        <v>-7.66</v>
      </c>
      <c r="I26" s="88"/>
      <c r="J26" s="142">
        <f>+K17</f>
        <v>1.444</v>
      </c>
      <c r="K26" s="88"/>
      <c r="L26" s="203">
        <f>+P17</f>
        <v>12.411000000000001</v>
      </c>
      <c r="M26" s="204"/>
      <c r="N26" s="88"/>
      <c r="O26" s="88"/>
      <c r="P26" s="88"/>
      <c r="Q26" s="143">
        <f>+S17</f>
        <v>7.7</v>
      </c>
      <c r="R26" s="88"/>
      <c r="T26" s="89"/>
      <c r="V26" s="89"/>
      <c r="AA26" t="s">
        <v>6</v>
      </c>
      <c r="AV26" s="1" t="s">
        <v>155</v>
      </c>
      <c r="AW26" s="12">
        <f>+IF($G$19=$AC$34,1/0.63*$AE$34,IF($G$19=$AC$35,1/0.63*$AE$35,1/0.63*$AE$36))</f>
        <v>0</v>
      </c>
      <c r="AX26" s="12">
        <f>+IF($G$19=$AC$34,1/0.73*$AE$34,IF($G$19=$AC$35,1/0.73*$AE$35,1/0.73*$AE$36))</f>
        <v>0</v>
      </c>
      <c r="AY26" s="12">
        <f>+IF($G$19=$AC$34,1/0.665*$AE$34,IF($G$19=$AC$35,1/0.665*$AE$35,1/0.665*$AE$36))</f>
        <v>0</v>
      </c>
      <c r="AZ26" s="12">
        <f>+IF($G$19=$AC$34,1/0.8*$AE$34,IF($G$19=$AC$35,1/0.8*$AE$35,1/0.8*$AE$36))</f>
        <v>0</v>
      </c>
      <c r="BA26" s="1"/>
      <c r="BB26" s="1"/>
      <c r="BC26" s="1"/>
      <c r="BD26" s="1"/>
    </row>
    <row r="27" spans="4:56" ht="15.65" thickTop="1" x14ac:dyDescent="0.3">
      <c r="D27" s="75"/>
      <c r="E27" s="75"/>
      <c r="F27" s="75"/>
      <c r="G27" s="75"/>
      <c r="H27" s="172"/>
      <c r="I27" s="173"/>
      <c r="J27" s="173"/>
      <c r="K27" s="173"/>
      <c r="L27" s="173"/>
      <c r="M27" s="174"/>
      <c r="N27" s="173"/>
      <c r="O27" s="173"/>
      <c r="P27" s="173"/>
      <c r="Q27" s="172"/>
      <c r="R27" s="88"/>
      <c r="S27" s="66"/>
      <c r="T27" s="90"/>
      <c r="U27" s="66"/>
      <c r="V27" s="90"/>
      <c r="AA27" s="67" t="s">
        <v>65</v>
      </c>
      <c r="AB27" s="67">
        <v>2.92</v>
      </c>
      <c r="AC27" s="67" t="s">
        <v>8</v>
      </c>
      <c r="AD27">
        <v>4.09</v>
      </c>
      <c r="AF27" s="67" t="s">
        <v>100</v>
      </c>
      <c r="AG27" s="78"/>
      <c r="AH27" s="78"/>
    </row>
    <row r="28" spans="4:56" ht="15.65" x14ac:dyDescent="0.3">
      <c r="D28" s="219" t="s">
        <v>221</v>
      </c>
      <c r="E28" s="220"/>
      <c r="F28" s="220"/>
      <c r="G28" s="220"/>
      <c r="H28" s="221"/>
      <c r="K28" s="75"/>
      <c r="L28" s="15" t="s">
        <v>168</v>
      </c>
      <c r="M28" s="75"/>
      <c r="N28" s="171"/>
      <c r="O28" s="75"/>
      <c r="P28" s="75"/>
      <c r="Q28" s="176">
        <f>+IF(D17=AA27,VLOOKUP(H17,AA42:AH62,7,FALSE),VLOOKUP(H17,AA42:AH62,8,FALSE))+(AE64*2400)</f>
        <v>188</v>
      </c>
      <c r="R28" s="75"/>
      <c r="T28" s="77"/>
      <c r="V28" s="75"/>
      <c r="AA28" s="67" t="s">
        <v>103</v>
      </c>
      <c r="AB28" s="67">
        <v>4.09</v>
      </c>
      <c r="AC28" s="67" t="s">
        <v>8</v>
      </c>
      <c r="AD28">
        <v>2.92</v>
      </c>
      <c r="AF28" s="67" t="s">
        <v>101</v>
      </c>
      <c r="AG28" s="78"/>
      <c r="AH28" s="78"/>
    </row>
    <row r="29" spans="4:56" ht="15.65" x14ac:dyDescent="0.3">
      <c r="D29" s="216" t="str">
        <f>"plancher"&amp;" "&amp;+VLOOKUP(H17,AA42:AK62,11,FALSE)&amp;" "&amp;"+"&amp;" "&amp;M17&amp;" " &amp;+VLOOKUP(H17,AA42:AL62,12,FALSE)&amp;" "&amp;D17</f>
        <v>plancher 12 + 5 EBS  GF 933 à GF 937</v>
      </c>
      <c r="E29" s="217"/>
      <c r="F29" s="217"/>
      <c r="G29" s="217"/>
      <c r="H29" s="218"/>
      <c r="K29" s="75"/>
      <c r="L29" s="15" t="s">
        <v>222</v>
      </c>
      <c r="M29" s="75"/>
      <c r="N29" s="171"/>
      <c r="O29" s="75"/>
      <c r="P29" s="75"/>
      <c r="Q29" s="178">
        <f>+N17</f>
        <v>63</v>
      </c>
      <c r="R29" s="75"/>
      <c r="T29" s="77"/>
      <c r="V29" s="75"/>
      <c r="AA29" s="67" t="s">
        <v>104</v>
      </c>
      <c r="AB29" s="67">
        <v>4.09</v>
      </c>
      <c r="AC29" s="67" t="s">
        <v>8</v>
      </c>
      <c r="AD29">
        <v>5.32</v>
      </c>
      <c r="AF29" s="67" t="s">
        <v>11</v>
      </c>
      <c r="AG29" s="78"/>
      <c r="AH29" s="78"/>
    </row>
    <row r="30" spans="4:56" ht="15.65" thickBot="1" x14ac:dyDescent="0.35">
      <c r="D30" s="184" t="str">
        <f>"+"&amp;" "&amp;Q17</f>
        <v>+ PU TMS 68 mm</v>
      </c>
      <c r="F30" s="72"/>
      <c r="G30" s="73"/>
      <c r="H30" s="74"/>
      <c r="I30" s="75"/>
      <c r="J30" s="76"/>
      <c r="K30" s="75"/>
      <c r="L30" s="74"/>
      <c r="M30" s="74"/>
      <c r="N30" s="76"/>
      <c r="O30" s="75"/>
      <c r="P30" s="75"/>
      <c r="Q30" s="74"/>
      <c r="R30" s="75"/>
      <c r="T30" s="77"/>
      <c r="V30" s="75"/>
    </row>
    <row r="31" spans="4:56" ht="15.65" thickTop="1" x14ac:dyDescent="0.3">
      <c r="L31" s="205">
        <f>+D26+H26+J26+L26+Q26</f>
        <v>20.387063492063493</v>
      </c>
      <c r="M31" s="206"/>
    </row>
    <row r="32" spans="4:56" ht="15.65" thickBot="1" x14ac:dyDescent="0.35">
      <c r="D32" s="79"/>
      <c r="L32" s="207"/>
      <c r="M32" s="208"/>
      <c r="Q32" s="74"/>
      <c r="AB32" t="s">
        <v>12</v>
      </c>
      <c r="AC32" s="80" t="s">
        <v>0</v>
      </c>
      <c r="AF32" t="s">
        <v>13</v>
      </c>
    </row>
    <row r="33" spans="4:38" ht="15.65" thickTop="1" x14ac:dyDescent="0.3">
      <c r="AA33" t="s">
        <v>14</v>
      </c>
      <c r="AB33">
        <v>-7.66</v>
      </c>
      <c r="AC33" s="68">
        <v>0</v>
      </c>
      <c r="AD33" t="s">
        <v>15</v>
      </c>
      <c r="AF33" s="67" t="s">
        <v>16</v>
      </c>
      <c r="AG33" s="67"/>
      <c r="AH33" s="67"/>
      <c r="AI33" s="67">
        <v>1.23</v>
      </c>
      <c r="AJ33" s="67" t="s">
        <v>102</v>
      </c>
    </row>
    <row r="34" spans="4:38" x14ac:dyDescent="0.3">
      <c r="L34" s="186" t="s">
        <v>175</v>
      </c>
      <c r="AA34" t="s">
        <v>17</v>
      </c>
      <c r="AB34">
        <v>6.24</v>
      </c>
      <c r="AC34" s="68">
        <v>0</v>
      </c>
      <c r="AD34" t="s">
        <v>18</v>
      </c>
      <c r="AF34" s="67" t="s">
        <v>19</v>
      </c>
      <c r="AG34" s="67"/>
      <c r="AH34" s="67"/>
      <c r="AI34" s="67">
        <v>3.68</v>
      </c>
      <c r="AJ34" s="67" t="s">
        <v>102</v>
      </c>
    </row>
    <row r="35" spans="4:38" x14ac:dyDescent="0.3">
      <c r="F35" s="117"/>
      <c r="AA35" t="s">
        <v>20</v>
      </c>
      <c r="AB35">
        <v>21.77</v>
      </c>
      <c r="AC35" s="69">
        <v>8.75</v>
      </c>
      <c r="AD35" t="s">
        <v>21</v>
      </c>
    </row>
    <row r="36" spans="4:38" ht="15.65" x14ac:dyDescent="0.3">
      <c r="D36" s="144" t="s">
        <v>223</v>
      </c>
      <c r="F36" s="117"/>
      <c r="AA36" t="s">
        <v>22</v>
      </c>
      <c r="AB36">
        <v>16.510000000000002</v>
      </c>
      <c r="AC36" s="69">
        <v>6.33</v>
      </c>
      <c r="AD36" t="s">
        <v>21</v>
      </c>
    </row>
    <row r="37" spans="4:38" x14ac:dyDescent="0.3">
      <c r="D37" s="131" t="str">
        <f>+IF(D17=AA27,AI39,AI40)</f>
        <v>FDES_Poutrelle_BP H 12_15 cm_03.2020 n°1-73:2020</v>
      </c>
      <c r="F37" s="117"/>
      <c r="AA37" t="s">
        <v>23</v>
      </c>
      <c r="AB37">
        <v>12.62</v>
      </c>
      <c r="AC37" s="69">
        <v>4.92</v>
      </c>
      <c r="AD37" t="s">
        <v>21</v>
      </c>
      <c r="AI37">
        <v>930</v>
      </c>
    </row>
    <row r="38" spans="4:38" x14ac:dyDescent="0.3">
      <c r="D38" s="132" t="str">
        <f>+VLOOKUP(H17,$AA$42:$AI$63,9,FALSE)</f>
        <v>FDES_Engelvin bois moulé n°1-33 : 2020</v>
      </c>
      <c r="F38" s="117"/>
      <c r="AA38" t="s">
        <v>24</v>
      </c>
      <c r="AB38">
        <v>10.73</v>
      </c>
      <c r="AC38" s="69">
        <v>4.01</v>
      </c>
      <c r="AD38" t="s">
        <v>21</v>
      </c>
    </row>
    <row r="39" spans="4:38" x14ac:dyDescent="0.3">
      <c r="D39" s="131" t="str">
        <f>+AI64</f>
        <v>APA_FDES__Armatures catalogue_2023_06_v1.3</v>
      </c>
      <c r="F39" s="117"/>
      <c r="AA39" t="s">
        <v>25</v>
      </c>
      <c r="AB39">
        <v>12.09</v>
      </c>
      <c r="AC39" s="69">
        <v>3.36</v>
      </c>
      <c r="AD39" t="s">
        <v>21</v>
      </c>
      <c r="AI39" s="1" t="s">
        <v>72</v>
      </c>
    </row>
    <row r="40" spans="4:38" x14ac:dyDescent="0.3">
      <c r="D40" s="131" t="str">
        <f>+VLOOKUP(L17,AA17:AC18,3,FALSE)</f>
        <v>Beton_(hors armature) pour dalle C25 30 XC1 XC2 CEMII A_07_2019</v>
      </c>
      <c r="F40" s="117"/>
      <c r="AA40" t="s">
        <v>26</v>
      </c>
      <c r="AB40">
        <v>10.62</v>
      </c>
      <c r="AC40" s="69">
        <v>2.99</v>
      </c>
      <c r="AD40" t="s">
        <v>27</v>
      </c>
      <c r="AE40" t="s">
        <v>169</v>
      </c>
      <c r="AF40" t="s">
        <v>169</v>
      </c>
      <c r="AG40" t="s">
        <v>170</v>
      </c>
      <c r="AH40" t="s">
        <v>170</v>
      </c>
      <c r="AI40" s="1" t="s">
        <v>73</v>
      </c>
    </row>
    <row r="41" spans="4:38" x14ac:dyDescent="0.3">
      <c r="D41" s="132" t="str">
        <f>IF(Q17="sans","",+VLOOKUP(Q17,$AM$11:$AQ$18,5,FALSE))</f>
        <v>FDES_SOPREMA_TMS sol 68 mm_20201027</v>
      </c>
      <c r="F41" s="117"/>
      <c r="AA41" t="s">
        <v>28</v>
      </c>
      <c r="AB41">
        <v>6.19</v>
      </c>
      <c r="AC41" s="69">
        <v>0.91</v>
      </c>
      <c r="AD41" t="s">
        <v>27</v>
      </c>
      <c r="AE41">
        <v>120</v>
      </c>
      <c r="AF41" s="70" t="s">
        <v>124</v>
      </c>
      <c r="AG41">
        <v>120</v>
      </c>
      <c r="AH41" s="70" t="s">
        <v>124</v>
      </c>
    </row>
    <row r="42" spans="4:38" x14ac:dyDescent="0.3">
      <c r="AA42" s="1" t="s">
        <v>105</v>
      </c>
      <c r="AB42">
        <v>-7.66</v>
      </c>
      <c r="AC42" s="68">
        <v>0</v>
      </c>
      <c r="AD42" t="s">
        <v>15</v>
      </c>
      <c r="AE42">
        <v>6.3E-2</v>
      </c>
      <c r="AF42">
        <v>6.3E-2</v>
      </c>
      <c r="AG42">
        <v>180</v>
      </c>
      <c r="AH42">
        <v>188</v>
      </c>
      <c r="AI42" s="1" t="s">
        <v>74</v>
      </c>
      <c r="AK42">
        <v>12</v>
      </c>
      <c r="AL42" s="1" t="s">
        <v>204</v>
      </c>
    </row>
    <row r="43" spans="4:38" x14ac:dyDescent="0.3">
      <c r="F43" s="117"/>
      <c r="AA43" s="1" t="s">
        <v>60</v>
      </c>
      <c r="AB43">
        <v>-7.66</v>
      </c>
      <c r="AC43" s="68">
        <v>0</v>
      </c>
      <c r="AE43">
        <v>7.1999999999999995E-2</v>
      </c>
      <c r="AF43">
        <v>7.2999999999999995E-2</v>
      </c>
      <c r="AG43">
        <v>200</v>
      </c>
      <c r="AH43">
        <v>209</v>
      </c>
      <c r="AI43" s="1" t="s">
        <v>74</v>
      </c>
      <c r="AK43">
        <v>15</v>
      </c>
      <c r="AL43" s="1" t="s">
        <v>204</v>
      </c>
    </row>
    <row r="44" spans="4:38" x14ac:dyDescent="0.3">
      <c r="F44" s="117"/>
      <c r="AA44" s="1" t="s">
        <v>61</v>
      </c>
      <c r="AB44">
        <v>-7.66</v>
      </c>
      <c r="AC44" s="68">
        <v>0</v>
      </c>
      <c r="AE44">
        <v>9.1999999999999998E-2</v>
      </c>
      <c r="AF44">
        <v>9.4E-2</v>
      </c>
      <c r="AG44">
        <v>259</v>
      </c>
      <c r="AH44">
        <v>271</v>
      </c>
      <c r="AI44" s="1" t="s">
        <v>74</v>
      </c>
      <c r="AK44">
        <v>20</v>
      </c>
      <c r="AL44" s="1" t="s">
        <v>204</v>
      </c>
    </row>
    <row r="45" spans="4:38" x14ac:dyDescent="0.3">
      <c r="F45" s="117"/>
      <c r="AA45" s="81" t="s">
        <v>106</v>
      </c>
      <c r="AB45" s="82">
        <v>20.61</v>
      </c>
      <c r="AC45" s="69">
        <v>8.75</v>
      </c>
      <c r="AD45" t="s">
        <v>21</v>
      </c>
      <c r="AE45">
        <v>5.8000000000000003E-2</v>
      </c>
      <c r="AF45">
        <v>0.06</v>
      </c>
      <c r="AG45">
        <v>165</v>
      </c>
      <c r="AH45">
        <v>169</v>
      </c>
      <c r="AI45" t="s">
        <v>128</v>
      </c>
      <c r="AK45">
        <v>12</v>
      </c>
      <c r="AL45" s="81" t="s">
        <v>203</v>
      </c>
    </row>
    <row r="46" spans="4:38" x14ac:dyDescent="0.3">
      <c r="F46" s="117"/>
      <c r="AA46" s="81" t="s">
        <v>107</v>
      </c>
      <c r="AB46" s="82">
        <v>21.77</v>
      </c>
      <c r="AC46" s="69">
        <v>8.75</v>
      </c>
      <c r="AD46" t="s">
        <v>21</v>
      </c>
      <c r="AE46">
        <v>7.0999999999999994E-2</v>
      </c>
      <c r="AF46">
        <v>7.2999999999999995E-2</v>
      </c>
      <c r="AG46">
        <v>198</v>
      </c>
      <c r="AH46">
        <v>201</v>
      </c>
      <c r="AI46" t="s">
        <v>130</v>
      </c>
      <c r="AK46">
        <v>15</v>
      </c>
      <c r="AL46" s="81" t="s">
        <v>205</v>
      </c>
    </row>
    <row r="47" spans="4:38" x14ac:dyDescent="0.3">
      <c r="F47" s="117"/>
      <c r="AA47" s="81" t="s">
        <v>122</v>
      </c>
      <c r="AB47" s="82">
        <v>14.77</v>
      </c>
      <c r="AC47" s="69">
        <v>6.33</v>
      </c>
      <c r="AD47" t="s">
        <v>21</v>
      </c>
      <c r="AE47">
        <v>5.8000000000000003E-2</v>
      </c>
      <c r="AF47">
        <v>0.06</v>
      </c>
      <c r="AG47">
        <v>165</v>
      </c>
      <c r="AH47">
        <v>169</v>
      </c>
      <c r="AI47" t="s">
        <v>131</v>
      </c>
      <c r="AK47">
        <v>12</v>
      </c>
      <c r="AL47" s="81" t="s">
        <v>206</v>
      </c>
    </row>
    <row r="48" spans="4:38" x14ac:dyDescent="0.3">
      <c r="F48" s="117"/>
      <c r="AA48" s="81" t="s">
        <v>123</v>
      </c>
      <c r="AB48" s="82">
        <v>16.510000000000002</v>
      </c>
      <c r="AC48" s="69">
        <v>6.33</v>
      </c>
      <c r="AD48" t="s">
        <v>21</v>
      </c>
      <c r="AE48">
        <v>7.0999999999999994E-2</v>
      </c>
      <c r="AF48">
        <v>7.2999999999999995E-2</v>
      </c>
      <c r="AG48">
        <v>198</v>
      </c>
      <c r="AH48">
        <v>201</v>
      </c>
      <c r="AI48" t="s">
        <v>132</v>
      </c>
      <c r="AK48">
        <v>15</v>
      </c>
      <c r="AL48" s="81" t="s">
        <v>207</v>
      </c>
    </row>
    <row r="49" spans="6:38" x14ac:dyDescent="0.3">
      <c r="F49" s="117"/>
      <c r="AA49" s="81" t="s">
        <v>108</v>
      </c>
      <c r="AB49" s="82">
        <v>17.14</v>
      </c>
      <c r="AC49" s="69">
        <v>6.33</v>
      </c>
      <c r="AD49" t="s">
        <v>21</v>
      </c>
      <c r="AE49">
        <v>9.1999999999999998E-2</v>
      </c>
      <c r="AF49">
        <v>9.4E-2</v>
      </c>
      <c r="AG49">
        <v>250</v>
      </c>
      <c r="AH49">
        <v>254</v>
      </c>
      <c r="AI49" t="s">
        <v>133</v>
      </c>
      <c r="AK49">
        <v>20</v>
      </c>
      <c r="AL49" s="81" t="s">
        <v>208</v>
      </c>
    </row>
    <row r="50" spans="6:38" x14ac:dyDescent="0.3">
      <c r="AA50" s="81" t="s">
        <v>109</v>
      </c>
      <c r="AB50" s="82">
        <v>12.09</v>
      </c>
      <c r="AC50" s="69">
        <v>4.92</v>
      </c>
      <c r="AD50" t="s">
        <v>21</v>
      </c>
      <c r="AE50">
        <v>5.8000000000000003E-2</v>
      </c>
      <c r="AF50">
        <v>0.06</v>
      </c>
      <c r="AG50">
        <v>165</v>
      </c>
      <c r="AH50">
        <v>169</v>
      </c>
      <c r="AI50" t="s">
        <v>134</v>
      </c>
      <c r="AK50">
        <v>12</v>
      </c>
      <c r="AL50" s="81" t="s">
        <v>209</v>
      </c>
    </row>
    <row r="51" spans="6:38" x14ac:dyDescent="0.3">
      <c r="AA51" s="81" t="s">
        <v>110</v>
      </c>
      <c r="AB51" s="82">
        <v>12.62</v>
      </c>
      <c r="AC51" s="69">
        <v>4.92</v>
      </c>
      <c r="AD51" t="s">
        <v>21</v>
      </c>
      <c r="AE51">
        <v>7.0999999999999994E-2</v>
      </c>
      <c r="AF51">
        <v>7.2999999999999995E-2</v>
      </c>
      <c r="AG51">
        <v>198</v>
      </c>
      <c r="AH51">
        <v>201</v>
      </c>
      <c r="AI51" t="s">
        <v>135</v>
      </c>
      <c r="AK51">
        <v>15</v>
      </c>
      <c r="AL51" s="81" t="s">
        <v>209</v>
      </c>
    </row>
    <row r="52" spans="6:38" x14ac:dyDescent="0.3">
      <c r="AA52" s="81" t="s">
        <v>111</v>
      </c>
      <c r="AB52" s="82">
        <v>14.09</v>
      </c>
      <c r="AC52" s="69">
        <v>4.92</v>
      </c>
      <c r="AD52" t="s">
        <v>21</v>
      </c>
      <c r="AE52">
        <v>9.1999999999999998E-2</v>
      </c>
      <c r="AF52">
        <v>9.4E-2</v>
      </c>
      <c r="AG52">
        <v>250</v>
      </c>
      <c r="AH52">
        <v>254</v>
      </c>
      <c r="AI52" t="s">
        <v>136</v>
      </c>
      <c r="AK52">
        <v>20</v>
      </c>
      <c r="AL52" s="81" t="s">
        <v>210</v>
      </c>
    </row>
    <row r="53" spans="6:38" x14ac:dyDescent="0.3">
      <c r="AA53" s="81" t="s">
        <v>112</v>
      </c>
      <c r="AB53" s="82">
        <v>10.199999999999999</v>
      </c>
      <c r="AC53" s="69">
        <v>4.01</v>
      </c>
      <c r="AD53" t="s">
        <v>21</v>
      </c>
      <c r="AE53">
        <v>5.8000000000000003E-2</v>
      </c>
      <c r="AF53">
        <v>0.06</v>
      </c>
      <c r="AG53">
        <v>165</v>
      </c>
      <c r="AH53">
        <v>169</v>
      </c>
      <c r="AI53" t="s">
        <v>137</v>
      </c>
      <c r="AK53">
        <v>12</v>
      </c>
      <c r="AL53" s="81" t="s">
        <v>211</v>
      </c>
    </row>
    <row r="54" spans="6:38" x14ac:dyDescent="0.3">
      <c r="AA54" s="81" t="s">
        <v>113</v>
      </c>
      <c r="AB54" s="82">
        <v>10.73</v>
      </c>
      <c r="AC54" s="69">
        <v>4.01</v>
      </c>
      <c r="AD54" t="s">
        <v>21</v>
      </c>
      <c r="AE54">
        <v>7.0999999999999994E-2</v>
      </c>
      <c r="AF54">
        <v>7.2999999999999995E-2</v>
      </c>
      <c r="AG54">
        <v>198</v>
      </c>
      <c r="AH54">
        <v>201</v>
      </c>
      <c r="AI54" t="s">
        <v>138</v>
      </c>
      <c r="AK54">
        <v>15</v>
      </c>
      <c r="AL54" s="81" t="s">
        <v>212</v>
      </c>
    </row>
    <row r="55" spans="6:38" x14ac:dyDescent="0.3">
      <c r="AA55" s="81" t="s">
        <v>114</v>
      </c>
      <c r="AB55" s="82">
        <v>11.99</v>
      </c>
      <c r="AC55" s="69">
        <v>4.01</v>
      </c>
      <c r="AD55" t="s">
        <v>21</v>
      </c>
      <c r="AE55">
        <v>9.1999999999999998E-2</v>
      </c>
      <c r="AF55">
        <v>9.4E-2</v>
      </c>
      <c r="AG55">
        <v>250</v>
      </c>
      <c r="AH55">
        <v>254</v>
      </c>
      <c r="AI55" t="s">
        <v>139</v>
      </c>
      <c r="AK55">
        <v>20</v>
      </c>
      <c r="AL55" s="81" t="s">
        <v>211</v>
      </c>
    </row>
    <row r="56" spans="6:38" x14ac:dyDescent="0.3">
      <c r="AA56" s="81" t="s">
        <v>115</v>
      </c>
      <c r="AB56" s="82">
        <v>10.15</v>
      </c>
      <c r="AC56" s="69">
        <v>3.36</v>
      </c>
      <c r="AD56" t="s">
        <v>21</v>
      </c>
      <c r="AE56">
        <v>5.8000000000000003E-2</v>
      </c>
      <c r="AF56">
        <v>0.06</v>
      </c>
      <c r="AG56">
        <v>165</v>
      </c>
      <c r="AH56">
        <v>169</v>
      </c>
      <c r="AI56" t="s">
        <v>140</v>
      </c>
      <c r="AK56">
        <v>12</v>
      </c>
      <c r="AL56" s="81" t="s">
        <v>213</v>
      </c>
    </row>
    <row r="57" spans="6:38" x14ac:dyDescent="0.3">
      <c r="AA57" s="81" t="s">
        <v>116</v>
      </c>
      <c r="AB57" s="82">
        <v>12.09</v>
      </c>
      <c r="AC57" s="69">
        <v>3.36</v>
      </c>
      <c r="AD57" t="s">
        <v>21</v>
      </c>
      <c r="AE57">
        <v>7.0999999999999994E-2</v>
      </c>
      <c r="AF57">
        <v>7.2999999999999995E-2</v>
      </c>
      <c r="AG57">
        <v>198</v>
      </c>
      <c r="AH57">
        <v>201</v>
      </c>
      <c r="AI57" t="s">
        <v>141</v>
      </c>
      <c r="AK57">
        <v>15</v>
      </c>
      <c r="AL57" s="81" t="s">
        <v>213</v>
      </c>
    </row>
    <row r="58" spans="6:38" x14ac:dyDescent="0.3">
      <c r="AA58" s="81" t="s">
        <v>117</v>
      </c>
      <c r="AB58" s="82">
        <v>14.88</v>
      </c>
      <c r="AC58" s="69">
        <v>3.36</v>
      </c>
      <c r="AD58" t="s">
        <v>21</v>
      </c>
      <c r="AE58">
        <v>9.1999999999999998E-2</v>
      </c>
      <c r="AF58">
        <v>9.4E-2</v>
      </c>
      <c r="AG58">
        <v>250</v>
      </c>
      <c r="AH58">
        <v>254</v>
      </c>
      <c r="AI58" t="s">
        <v>142</v>
      </c>
      <c r="AK58">
        <v>20</v>
      </c>
      <c r="AL58" s="81" t="s">
        <v>213</v>
      </c>
    </row>
    <row r="59" spans="6:38" x14ac:dyDescent="0.3">
      <c r="AA59" s="81" t="s">
        <v>118</v>
      </c>
      <c r="AB59" s="82">
        <v>10.039999999999999</v>
      </c>
      <c r="AC59" s="68">
        <v>2.96</v>
      </c>
      <c r="AD59" t="s">
        <v>21</v>
      </c>
      <c r="AE59">
        <v>5.8000000000000003E-2</v>
      </c>
      <c r="AF59">
        <v>0.06</v>
      </c>
      <c r="AG59">
        <v>165</v>
      </c>
      <c r="AH59">
        <v>169</v>
      </c>
      <c r="AI59" t="s">
        <v>143</v>
      </c>
      <c r="AK59">
        <v>12</v>
      </c>
      <c r="AL59" s="81" t="s">
        <v>214</v>
      </c>
    </row>
    <row r="60" spans="6:38" x14ac:dyDescent="0.3">
      <c r="AA60" s="81" t="s">
        <v>119</v>
      </c>
      <c r="AB60" s="82">
        <v>10.62</v>
      </c>
      <c r="AC60" s="68">
        <v>2.96</v>
      </c>
      <c r="AD60" t="s">
        <v>21</v>
      </c>
      <c r="AE60">
        <v>7.0999999999999994E-2</v>
      </c>
      <c r="AF60">
        <v>7.2999999999999995E-2</v>
      </c>
      <c r="AG60">
        <v>198</v>
      </c>
      <c r="AH60">
        <v>201</v>
      </c>
      <c r="AI60" t="s">
        <v>144</v>
      </c>
      <c r="AK60">
        <v>15</v>
      </c>
      <c r="AL60" s="81" t="s">
        <v>215</v>
      </c>
    </row>
    <row r="61" spans="6:38" x14ac:dyDescent="0.3">
      <c r="AA61" s="81" t="s">
        <v>120</v>
      </c>
      <c r="AB61" s="82">
        <v>10.62</v>
      </c>
      <c r="AC61" s="68">
        <v>2.96</v>
      </c>
      <c r="AD61" t="s">
        <v>21</v>
      </c>
      <c r="AE61">
        <v>5.8000000000000003E-2</v>
      </c>
      <c r="AF61">
        <v>0.06</v>
      </c>
      <c r="AG61">
        <v>165</v>
      </c>
      <c r="AH61">
        <v>169</v>
      </c>
      <c r="AI61" t="s">
        <v>145</v>
      </c>
      <c r="AK61">
        <v>12</v>
      </c>
      <c r="AL61" s="81" t="s">
        <v>216</v>
      </c>
    </row>
    <row r="62" spans="6:38" x14ac:dyDescent="0.3">
      <c r="AA62" s="81" t="s">
        <v>121</v>
      </c>
      <c r="AB62" s="82">
        <v>11.62</v>
      </c>
      <c r="AC62" s="68">
        <v>0.91</v>
      </c>
      <c r="AD62" t="s">
        <v>21</v>
      </c>
      <c r="AE62">
        <v>7.0999999999999994E-2</v>
      </c>
      <c r="AF62">
        <v>7.2999999999999995E-2</v>
      </c>
      <c r="AG62">
        <v>198</v>
      </c>
      <c r="AH62">
        <v>201</v>
      </c>
      <c r="AI62" t="s">
        <v>146</v>
      </c>
      <c r="AK62">
        <v>15</v>
      </c>
      <c r="AL62" s="81" t="s">
        <v>217</v>
      </c>
    </row>
    <row r="64" spans="6:38" x14ac:dyDescent="0.3">
      <c r="AA64" s="87" t="s">
        <v>125</v>
      </c>
      <c r="AE64">
        <f>(M17/100)-0.05</f>
        <v>0</v>
      </c>
      <c r="AF64">
        <f>+AE64*1000</f>
        <v>0</v>
      </c>
      <c r="AI64" s="1" t="s">
        <v>75</v>
      </c>
    </row>
    <row r="65" spans="35:35" x14ac:dyDescent="0.3">
      <c r="AI65" s="1" t="s">
        <v>127</v>
      </c>
    </row>
  </sheetData>
  <sheetProtection algorithmName="SHA-512" hashValue="Ce7jYL3FaqEXiyYQ6pZdaEOOHvSEh2JPgLNXrJCGSmh0xtj/fY8n14g0iU94K/ZJTZW2oQTEU3QB53Oa2I5+9Q==" saltValue="DjKuNxMVgVLSEsbbPmNeQw==" spinCount="100000" sheet="1" objects="1" scenarios="1"/>
  <mergeCells count="26">
    <mergeCell ref="D5:Q5"/>
    <mergeCell ref="L26:M26"/>
    <mergeCell ref="L31:M32"/>
    <mergeCell ref="N15:N16"/>
    <mergeCell ref="O15:O16"/>
    <mergeCell ref="J15:J16"/>
    <mergeCell ref="K15:K16"/>
    <mergeCell ref="L15:L16"/>
    <mergeCell ref="P15:P16"/>
    <mergeCell ref="Q15:Q16"/>
    <mergeCell ref="G11:H11"/>
    <mergeCell ref="D29:H29"/>
    <mergeCell ref="D28:H28"/>
    <mergeCell ref="D22:Q22"/>
    <mergeCell ref="S15:S16"/>
    <mergeCell ref="T14:T15"/>
    <mergeCell ref="V14:V15"/>
    <mergeCell ref="D15:D16"/>
    <mergeCell ref="F15:F16"/>
    <mergeCell ref="G15:G16"/>
    <mergeCell ref="H15:H16"/>
    <mergeCell ref="I15:I16"/>
    <mergeCell ref="D14:G14"/>
    <mergeCell ref="H14:I14"/>
    <mergeCell ref="J14:K14"/>
    <mergeCell ref="L14:P14"/>
  </mergeCells>
  <phoneticPr fontId="6" type="noConversion"/>
  <conditionalFormatting sqref="Q26">
    <cfRule type="cellIs" dxfId="2" priority="4" operator="equal">
      <formula>0</formula>
    </cfRule>
  </conditionalFormatting>
  <dataValidations count="5">
    <dataValidation type="list" allowBlank="1" showInputMessage="1" showErrorMessage="1" sqref="Q17" xr:uid="{CBA3D2B2-6A16-4639-9900-72D3300E28B9}">
      <formula1>$AF$13:$AF$20</formula1>
    </dataValidation>
    <dataValidation type="list" allowBlank="1" showInputMessage="1" showErrorMessage="1" sqref="L17" xr:uid="{5AF39E4D-4726-478A-B6DE-B36DA1D9683D}">
      <formula1>$AA$17:$AA$18</formula1>
    </dataValidation>
    <dataValidation type="list" allowBlank="1" showInputMessage="1" showErrorMessage="1" sqref="D17" xr:uid="{9945008B-6202-46C6-8CB3-2E3E0993E62F}">
      <formula1>$AA$27:$AA$29</formula1>
    </dataValidation>
    <dataValidation type="list" allowBlank="1" showInputMessage="1" showErrorMessage="1" sqref="H17" xr:uid="{90BB735A-8500-4AD8-9FDE-B95DC0E09CF3}">
      <formula1>$AA$42:$AA$62</formula1>
    </dataValidation>
    <dataValidation type="list" allowBlank="1" showInputMessage="1" showErrorMessage="1" sqref="M17" xr:uid="{6AD3B11A-B877-4396-BD6F-F87D001E4044}">
      <formula1>$Z$17:$Z$20</formula1>
    </dataValidation>
  </dataValidations>
  <pageMargins left="0.25" right="0.25" top="0.75" bottom="0.75" header="0.3" footer="0.3"/>
  <pageSetup paperSize="9" scale="56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5:AU59"/>
  <sheetViews>
    <sheetView showGridLines="0" showRowColHeaders="0" zoomScale="90" zoomScaleNormal="90" zoomScaleSheetLayoutView="80" workbookViewId="0"/>
  </sheetViews>
  <sheetFormatPr baseColWidth="10" defaultColWidth="10.88671875" defaultRowHeight="15.05" x14ac:dyDescent="0.3"/>
  <cols>
    <col min="1" max="1" width="15.6640625" style="1" customWidth="1"/>
    <col min="2" max="2" width="26.44140625" style="1" customWidth="1"/>
    <col min="3" max="3" width="16.21875" style="1" customWidth="1"/>
    <col min="4" max="4" width="5.109375" style="1" hidden="1" customWidth="1"/>
    <col min="5" max="5" width="7.21875" style="1" hidden="1" customWidth="1"/>
    <col min="6" max="6" width="8.6640625" style="1" hidden="1" customWidth="1"/>
    <col min="7" max="7" width="16.6640625" style="1" customWidth="1"/>
    <col min="8" max="8" width="8.6640625" style="1" hidden="1" customWidth="1"/>
    <col min="9" max="9" width="14.77734375" style="2" customWidth="1"/>
    <col min="10" max="10" width="8.77734375" style="1" hidden="1" customWidth="1"/>
    <col min="11" max="11" width="15.5546875" style="1" customWidth="1"/>
    <col min="12" max="12" width="12.6640625" style="1" customWidth="1"/>
    <col min="13" max="13" width="5" style="2" hidden="1" customWidth="1"/>
    <col min="14" max="14" width="11.77734375" style="2" hidden="1" customWidth="1"/>
    <col min="15" max="15" width="8.77734375" style="1" hidden="1" customWidth="1"/>
    <col min="16" max="16" width="10.88671875" style="1" hidden="1" customWidth="1"/>
    <col min="17" max="17" width="13.6640625" style="1" customWidth="1"/>
    <col min="18" max="18" width="8.5546875" style="1" hidden="1" customWidth="1"/>
    <col min="19" max="19" width="12.109375" style="1" customWidth="1"/>
    <col min="20" max="20" width="8.5546875" style="1" customWidth="1"/>
    <col min="21" max="24" width="12.44140625" style="1" hidden="1" customWidth="1"/>
    <col min="25" max="25" width="12.44140625" style="1" customWidth="1"/>
    <col min="26" max="28" width="10.88671875" style="1" customWidth="1"/>
    <col min="29" max="29" width="26.44140625" style="1" hidden="1" customWidth="1"/>
    <col min="30" max="34" width="10.88671875" style="1" hidden="1" customWidth="1"/>
    <col min="35" max="35" width="22.21875" style="1" hidden="1" customWidth="1"/>
    <col min="36" max="36" width="10.88671875" style="1" hidden="1" customWidth="1"/>
    <col min="37" max="37" width="15.33203125" style="1" hidden="1" customWidth="1"/>
    <col min="38" max="47" width="10.88671875" style="1" hidden="1" customWidth="1"/>
    <col min="48" max="16384" width="10.88671875" style="1"/>
  </cols>
  <sheetData>
    <row r="5" spans="2:45" ht="20.05" customHeight="1" x14ac:dyDescent="0.3">
      <c r="B5" s="135">
        <f ca="1">TODAY()</f>
        <v>45237</v>
      </c>
      <c r="C5" s="254" t="s">
        <v>218</v>
      </c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6"/>
    </row>
    <row r="9" spans="2:45" ht="18.2" x14ac:dyDescent="0.35">
      <c r="G9" s="64"/>
      <c r="H9" s="64"/>
      <c r="I9" s="65"/>
      <c r="J9" s="64"/>
      <c r="K9" s="64"/>
      <c r="L9" s="64"/>
    </row>
    <row r="10" spans="2:45" x14ac:dyDescent="0.3">
      <c r="B10" s="136"/>
    </row>
    <row r="12" spans="2:45" ht="15.65" thickBot="1" x14ac:dyDescent="0.35"/>
    <row r="13" spans="2:45" ht="18.8" thickBot="1" x14ac:dyDescent="0.4">
      <c r="F13" s="34"/>
      <c r="I13" s="1"/>
      <c r="M13" s="35" t="s">
        <v>29</v>
      </c>
      <c r="N13" s="35"/>
      <c r="O13" s="35"/>
      <c r="P13" s="51"/>
      <c r="Q13" s="52"/>
      <c r="AL13" s="5" t="s">
        <v>46</v>
      </c>
      <c r="AM13" s="5" t="s">
        <v>49</v>
      </c>
      <c r="AN13" s="5" t="s">
        <v>47</v>
      </c>
      <c r="AO13" s="5" t="s">
        <v>50</v>
      </c>
      <c r="AP13" s="5" t="s">
        <v>67</v>
      </c>
      <c r="AQ13" s="5" t="s">
        <v>68</v>
      </c>
      <c r="AR13" s="1" t="s">
        <v>48</v>
      </c>
    </row>
    <row r="14" spans="2:45" x14ac:dyDescent="0.3">
      <c r="B14" s="37"/>
      <c r="C14" s="38"/>
      <c r="D14" s="38"/>
      <c r="E14" s="38"/>
      <c r="F14" s="270"/>
      <c r="G14" s="270"/>
      <c r="H14" s="38"/>
      <c r="I14" s="39"/>
      <c r="J14" s="38"/>
      <c r="K14" s="38"/>
      <c r="L14" s="38"/>
      <c r="M14" s="39"/>
      <c r="N14" s="39"/>
      <c r="O14" s="38"/>
      <c r="P14" s="38"/>
      <c r="Q14" s="38"/>
      <c r="R14" s="38"/>
      <c r="S14" s="38"/>
      <c r="T14" s="40"/>
      <c r="U14" s="53"/>
      <c r="AH14" s="3" t="s">
        <v>5</v>
      </c>
      <c r="AI14" s="3">
        <v>0</v>
      </c>
      <c r="AK14" s="1" t="s">
        <v>105</v>
      </c>
      <c r="AL14" s="1">
        <v>6.3E-2</v>
      </c>
      <c r="AM14" s="1">
        <v>6.7000000000000004E-2</v>
      </c>
      <c r="AN14" s="1">
        <v>6.3E-2</v>
      </c>
      <c r="AO14" s="1">
        <v>6.7000000000000004E-2</v>
      </c>
      <c r="AR14" s="1">
        <f>+(L20-5)/100</f>
        <v>0</v>
      </c>
      <c r="AS14" s="1">
        <f>+IF(B20=AC29,IF(C20=AH29,AL14,AM14),IF(C19=AH29,AN14,AO14))+AR14</f>
        <v>6.3E-2</v>
      </c>
    </row>
    <row r="15" spans="2:45" x14ac:dyDescent="0.3">
      <c r="B15" s="41"/>
      <c r="C15" s="58"/>
      <c r="D15" s="58"/>
      <c r="E15" s="58"/>
      <c r="F15" s="58"/>
      <c r="G15" s="58"/>
      <c r="H15" s="58"/>
      <c r="I15" s="59"/>
      <c r="J15" s="58"/>
      <c r="K15" s="58"/>
      <c r="L15" s="58"/>
      <c r="M15" s="59"/>
      <c r="N15" s="59"/>
      <c r="O15" s="58"/>
      <c r="P15" s="58"/>
      <c r="Q15" s="58"/>
      <c r="R15" s="58"/>
      <c r="S15" s="58"/>
      <c r="T15" s="42"/>
      <c r="U15" s="54"/>
      <c r="AH15" s="3" t="s">
        <v>62</v>
      </c>
      <c r="AI15" s="3">
        <v>1.48</v>
      </c>
      <c r="AK15" s="1" t="s">
        <v>60</v>
      </c>
      <c r="AL15" s="1">
        <v>7.1999999999999995E-2</v>
      </c>
      <c r="AM15" s="1">
        <v>7.8E-2</v>
      </c>
      <c r="AN15" s="1">
        <v>7.2999999999999995E-2</v>
      </c>
      <c r="AO15" s="1">
        <v>7.9000000000000001E-2</v>
      </c>
      <c r="AP15" s="1">
        <v>7.0000000000000007E-2</v>
      </c>
      <c r="AQ15" s="5">
        <v>7.5999999999999998E-2</v>
      </c>
      <c r="AR15" s="1">
        <f>+(L20-5)/100</f>
        <v>0</v>
      </c>
      <c r="AS15" s="1">
        <f>+IF(B20=AC32,IF(C20=AH32,AL15,AM15),IF(C20=AH32,AN15,AO15))+AR15</f>
        <v>7.1999999999999995E-2</v>
      </c>
    </row>
    <row r="16" spans="2:45" x14ac:dyDescent="0.3">
      <c r="B16" s="41"/>
      <c r="C16" s="58"/>
      <c r="D16" s="58"/>
      <c r="E16" s="58"/>
      <c r="F16" s="58"/>
      <c r="G16" s="58"/>
      <c r="H16" s="58"/>
      <c r="I16" s="59"/>
      <c r="J16" s="58"/>
      <c r="K16" s="58"/>
      <c r="L16" s="58"/>
      <c r="M16" s="59"/>
      <c r="N16" s="59"/>
      <c r="O16" s="58"/>
      <c r="P16" s="58"/>
      <c r="Q16" s="58"/>
      <c r="R16" s="58"/>
      <c r="S16" s="58"/>
      <c r="T16" s="42"/>
      <c r="U16" s="54"/>
      <c r="AH16" s="3" t="s">
        <v>63</v>
      </c>
      <c r="AI16" s="3">
        <v>3.18</v>
      </c>
      <c r="AK16" s="1" t="s">
        <v>61</v>
      </c>
      <c r="AL16" s="1">
        <v>9.1999999999999998E-2</v>
      </c>
      <c r="AM16" s="1">
        <v>0.10299999999999999</v>
      </c>
      <c r="AN16" s="1">
        <v>9.4E-2</v>
      </c>
      <c r="AO16" s="1">
        <v>0.106</v>
      </c>
      <c r="AP16" s="1">
        <v>9.1999999999999998E-2</v>
      </c>
      <c r="AQ16" s="1">
        <v>0.10199999999999999</v>
      </c>
      <c r="AR16" s="1">
        <f>+(L20-5)/100</f>
        <v>0</v>
      </c>
      <c r="AS16" s="1">
        <f>+IF(B20=AC32,IF(C20=AH32,AL16,AM16),IF(C20=AH32,AN16,AO16))+AR16</f>
        <v>9.1999999999999998E-2</v>
      </c>
    </row>
    <row r="17" spans="1:45" hidden="1" x14ac:dyDescent="0.3">
      <c r="B17" s="271" t="s">
        <v>30</v>
      </c>
      <c r="C17" s="272"/>
      <c r="D17" s="273"/>
      <c r="E17" s="273"/>
      <c r="F17" s="274"/>
      <c r="G17" s="275" t="s">
        <v>31</v>
      </c>
      <c r="H17" s="276"/>
      <c r="I17" s="248" t="s">
        <v>32</v>
      </c>
      <c r="J17" s="249"/>
      <c r="K17" s="250" t="s">
        <v>33</v>
      </c>
      <c r="L17" s="251"/>
      <c r="M17" s="252"/>
      <c r="N17" s="252"/>
      <c r="O17" s="252"/>
      <c r="P17" s="253"/>
      <c r="Q17" s="235" t="s">
        <v>51</v>
      </c>
      <c r="R17" s="236"/>
      <c r="S17" s="237"/>
      <c r="T17" s="238"/>
      <c r="U17" s="54"/>
      <c r="W17" s="260" t="s">
        <v>34</v>
      </c>
      <c r="X17" s="232"/>
      <c r="AH17" s="3" t="s">
        <v>226</v>
      </c>
      <c r="AI17" s="3">
        <v>3.6</v>
      </c>
    </row>
    <row r="18" spans="1:45" ht="14.75" customHeight="1" x14ac:dyDescent="0.3">
      <c r="B18" s="226"/>
      <c r="C18" s="245"/>
      <c r="D18" s="43"/>
      <c r="E18" s="228" t="s">
        <v>36</v>
      </c>
      <c r="F18" s="230" t="s">
        <v>37</v>
      </c>
      <c r="G18" s="245" t="s">
        <v>38</v>
      </c>
      <c r="H18" s="258" t="s">
        <v>39</v>
      </c>
      <c r="I18" s="233"/>
      <c r="J18" s="234" t="s">
        <v>39</v>
      </c>
      <c r="K18" s="233"/>
      <c r="L18" s="233"/>
      <c r="M18" s="239" t="s">
        <v>40</v>
      </c>
      <c r="N18" s="44" t="s">
        <v>59</v>
      </c>
      <c r="O18" s="241" t="s">
        <v>2</v>
      </c>
      <c r="P18" s="243" t="s">
        <v>39</v>
      </c>
      <c r="Q18" s="245"/>
      <c r="R18" s="246" t="s">
        <v>41</v>
      </c>
      <c r="S18" s="233"/>
      <c r="T18" s="42"/>
      <c r="U18" s="55"/>
      <c r="V18" s="45"/>
      <c r="W18" s="261"/>
      <c r="X18" s="232"/>
      <c r="Z18" s="5"/>
      <c r="AA18" s="5"/>
      <c r="AH18" s="3" t="s">
        <v>53</v>
      </c>
      <c r="AI18" s="3">
        <v>4.18</v>
      </c>
      <c r="AK18" s="1" t="s">
        <v>54</v>
      </c>
      <c r="AL18" s="1">
        <f>18.9*1.59</f>
        <v>30.050999999999998</v>
      </c>
      <c r="AM18" s="1">
        <f>1.37*18.9*2</f>
        <v>51.786000000000001</v>
      </c>
      <c r="AN18" s="1">
        <f>1.5*26.3</f>
        <v>39.450000000000003</v>
      </c>
      <c r="AO18" s="1">
        <f>1.25*26.3*2</f>
        <v>65.75</v>
      </c>
    </row>
    <row r="19" spans="1:45" ht="15.65" thickBot="1" x14ac:dyDescent="0.35">
      <c r="A19" s="137" t="s">
        <v>158</v>
      </c>
      <c r="B19" s="227"/>
      <c r="C19" s="245"/>
      <c r="D19" s="46"/>
      <c r="E19" s="229"/>
      <c r="F19" s="230"/>
      <c r="G19" s="245"/>
      <c r="H19" s="259"/>
      <c r="I19" s="233"/>
      <c r="J19" s="234"/>
      <c r="K19" s="233"/>
      <c r="L19" s="233"/>
      <c r="M19" s="240"/>
      <c r="N19" s="47"/>
      <c r="O19" s="242"/>
      <c r="P19" s="244"/>
      <c r="Q19" s="245"/>
      <c r="R19" s="247"/>
      <c r="S19" s="233"/>
      <c r="T19" s="42"/>
      <c r="U19" s="55" t="s">
        <v>71</v>
      </c>
      <c r="V19" s="45" t="s">
        <v>81</v>
      </c>
      <c r="W19" s="8" t="s">
        <v>42</v>
      </c>
      <c r="X19" s="9"/>
      <c r="AC19" t="s">
        <v>1</v>
      </c>
      <c r="AD19" s="67" t="s">
        <v>2</v>
      </c>
      <c r="AE19"/>
      <c r="AH19" s="3" t="s">
        <v>52</v>
      </c>
      <c r="AI19" s="3">
        <v>5.18</v>
      </c>
      <c r="AK19" s="1" t="s">
        <v>55</v>
      </c>
      <c r="AL19" s="1">
        <f>1.59*4.7</f>
        <v>7.4730000000000008</v>
      </c>
      <c r="AM19" s="1">
        <f>1.37*4.7</f>
        <v>6.4390000000000009</v>
      </c>
      <c r="AN19" s="1">
        <f>1.5*4.7</f>
        <v>7.0500000000000007</v>
      </c>
      <c r="AO19" s="1">
        <f>1.25*4.7</f>
        <v>5.875</v>
      </c>
    </row>
    <row r="20" spans="1:45" ht="16.899999999999999" thickTop="1" thickBot="1" x14ac:dyDescent="0.35">
      <c r="B20" s="36" t="s">
        <v>65</v>
      </c>
      <c r="C20" s="19" t="s">
        <v>44</v>
      </c>
      <c r="D20" s="125">
        <f>+VLOOKUP(B20,$AC$32:$AD$34,2,FALSE)</f>
        <v>2.92</v>
      </c>
      <c r="E20" s="22">
        <f>+IF(B20=AC32,IF(C20=AH32,63,73),IF(C20=AH32,66.5,80))</f>
        <v>63</v>
      </c>
      <c r="F20" s="126">
        <f>+IF( C20=AH32,D20*(1/E20),D20*(1/E20*2))*100</f>
        <v>4.6349206349206344</v>
      </c>
      <c r="G20" s="20" t="s">
        <v>60</v>
      </c>
      <c r="H20" s="127">
        <f>+VLOOKUP(G20,$AC$37:$AD$46,2,FALSE)</f>
        <v>-7.66</v>
      </c>
      <c r="I20" s="86">
        <v>2</v>
      </c>
      <c r="J20" s="127">
        <f>+I20*0.722</f>
        <v>1.444</v>
      </c>
      <c r="K20" s="23" t="s">
        <v>4</v>
      </c>
      <c r="L20" s="24">
        <v>5</v>
      </c>
      <c r="M20" s="25">
        <f>+VLOOKUP(G20,AK14:AS16,9,FALSE)*1000</f>
        <v>72</v>
      </c>
      <c r="N20" s="26">
        <f>IF(G20=AC37,AS24,IF(G20=AC38,AS25,AS26))</f>
        <v>200</v>
      </c>
      <c r="O20" s="128">
        <f>+VLOOKUP(K20,$AC$20:$AD$21,2,FALSE)</f>
        <v>0.19700000000000001</v>
      </c>
      <c r="P20" s="129">
        <f>+O20*M20</f>
        <v>14.184000000000001</v>
      </c>
      <c r="Q20" s="21" t="s">
        <v>62</v>
      </c>
      <c r="R20" s="130">
        <f>+VLOOKUP(Q20,$AH$14:$AI$17,2,FALSE)</f>
        <v>1.48</v>
      </c>
      <c r="S20" s="262" t="s">
        <v>53</v>
      </c>
      <c r="T20" s="263"/>
      <c r="U20" s="56">
        <f>+VLOOKUP(S20,AH23:AI25,2,FALSE)</f>
        <v>3.12</v>
      </c>
      <c r="V20" s="187">
        <f>IF(S20=AH23,0,AI26)</f>
        <v>2.1082000000000001</v>
      </c>
      <c r="W20" s="32">
        <f>+R20+P20+J20+H20+F20+U20+V20</f>
        <v>19.311120634920634</v>
      </c>
      <c r="X20" s="31"/>
      <c r="AC20" s="67" t="s">
        <v>4</v>
      </c>
      <c r="AD20" s="67">
        <v>0.19700000000000001</v>
      </c>
      <c r="AE20" s="1" t="s">
        <v>127</v>
      </c>
      <c r="AF20" s="1" t="s">
        <v>3</v>
      </c>
      <c r="AK20" s="1" t="s">
        <v>56</v>
      </c>
      <c r="AL20" s="1">
        <f>1.59*5.9</f>
        <v>9.3810000000000002</v>
      </c>
      <c r="AM20" s="1">
        <f>1.37*5.9</f>
        <v>8.083000000000002</v>
      </c>
      <c r="AN20" s="1">
        <f>1.5*5.9</f>
        <v>8.8500000000000014</v>
      </c>
      <c r="AO20" s="1">
        <f>1.25*5.9</f>
        <v>7.375</v>
      </c>
    </row>
    <row r="21" spans="1:45" ht="15.65" thickTop="1" x14ac:dyDescent="0.3">
      <c r="B21" s="159"/>
      <c r="C21" s="160"/>
      <c r="D21" s="61"/>
      <c r="E21" s="160"/>
      <c r="F21" s="60"/>
      <c r="G21" s="61"/>
      <c r="H21" s="61"/>
      <c r="I21" s="161"/>
      <c r="J21" s="61"/>
      <c r="K21" s="61"/>
      <c r="L21" s="61"/>
      <c r="M21" s="161"/>
      <c r="N21" s="161"/>
      <c r="O21" s="61"/>
      <c r="P21" s="61"/>
      <c r="Q21" s="61"/>
      <c r="R21" s="61"/>
      <c r="S21" s="61"/>
      <c r="T21" s="62"/>
      <c r="U21" s="54"/>
      <c r="V21" s="17"/>
      <c r="X21" s="15"/>
      <c r="AC21" s="67" t="s">
        <v>192</v>
      </c>
      <c r="AD21" s="155">
        <v>0.15</v>
      </c>
      <c r="AE21" t="s">
        <v>193</v>
      </c>
      <c r="AK21" s="27" t="s">
        <v>159</v>
      </c>
      <c r="AL21" s="27">
        <v>180</v>
      </c>
      <c r="AM21" s="27">
        <v>208</v>
      </c>
      <c r="AN21" s="27">
        <v>188</v>
      </c>
      <c r="AO21" s="27">
        <v>221</v>
      </c>
      <c r="AP21" s="27"/>
      <c r="AQ21" s="27"/>
    </row>
    <row r="22" spans="1:45" ht="15.65" thickBot="1" x14ac:dyDescent="0.35">
      <c r="B22" s="162"/>
      <c r="C22" s="163"/>
      <c r="D22" s="50"/>
      <c r="E22" s="163"/>
      <c r="F22" s="49"/>
      <c r="G22" s="50"/>
      <c r="H22" s="50"/>
      <c r="I22" s="164"/>
      <c r="J22" s="50"/>
      <c r="K22" s="50"/>
      <c r="L22" s="50"/>
      <c r="M22" s="164"/>
      <c r="N22" s="164"/>
      <c r="O22" s="50"/>
      <c r="P22" s="50"/>
      <c r="Q22" s="50"/>
      <c r="R22" s="50"/>
      <c r="S22" s="50"/>
      <c r="T22" s="63"/>
      <c r="U22" s="57"/>
      <c r="V22" s="17"/>
      <c r="X22" s="15"/>
      <c r="AK22" s="27" t="s">
        <v>69</v>
      </c>
      <c r="AL22" s="27">
        <v>200</v>
      </c>
      <c r="AM22" s="27">
        <v>234</v>
      </c>
      <c r="AN22" s="27">
        <v>209</v>
      </c>
      <c r="AO22" s="27">
        <v>251</v>
      </c>
      <c r="AP22" s="27">
        <v>211</v>
      </c>
      <c r="AQ22" s="27">
        <v>253</v>
      </c>
      <c r="AR22" s="27"/>
      <c r="AS22" s="27"/>
    </row>
    <row r="23" spans="1:45" x14ac:dyDescent="0.3">
      <c r="B23" s="13"/>
      <c r="R23" s="15"/>
      <c r="S23" s="15"/>
      <c r="T23" s="15"/>
      <c r="V23" s="17"/>
      <c r="X23" s="15"/>
      <c r="AC23" s="3"/>
      <c r="AD23" s="3"/>
      <c r="AE23" s="3"/>
      <c r="AH23" s="1" t="s">
        <v>5</v>
      </c>
      <c r="AI23" s="1">
        <v>0</v>
      </c>
      <c r="AK23" s="27" t="s">
        <v>70</v>
      </c>
      <c r="AL23" s="27">
        <v>259</v>
      </c>
      <c r="AM23" s="27">
        <v>302</v>
      </c>
      <c r="AN23" s="27">
        <v>271</v>
      </c>
      <c r="AO23" s="27">
        <v>322</v>
      </c>
      <c r="AP23" s="27">
        <v>273</v>
      </c>
      <c r="AQ23" s="27">
        <v>324</v>
      </c>
    </row>
    <row r="24" spans="1:45" ht="18.2" x14ac:dyDescent="0.35">
      <c r="B24" s="231" t="s">
        <v>79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V24" s="17"/>
      <c r="X24" s="15"/>
      <c r="AH24" s="3" t="s">
        <v>53</v>
      </c>
      <c r="AI24" s="3">
        <v>3.12</v>
      </c>
      <c r="AK24" s="1" t="s">
        <v>160</v>
      </c>
      <c r="AL24" s="1">
        <f>+AL21+($AR$14*2400)</f>
        <v>180</v>
      </c>
      <c r="AM24" s="1">
        <f t="shared" ref="AM24:AO24" si="0">+AM21+($AR$14*2400)</f>
        <v>208</v>
      </c>
      <c r="AN24" s="1">
        <f t="shared" si="0"/>
        <v>188</v>
      </c>
      <c r="AO24" s="1">
        <f t="shared" si="0"/>
        <v>221</v>
      </c>
      <c r="AS24" s="1">
        <f>+IF(B20=AC32,IF(C20=AH32,AL24,AM24),IF(C20=AH32,AN24,AO24))</f>
        <v>180</v>
      </c>
    </row>
    <row r="25" spans="1:45" x14ac:dyDescent="0.3">
      <c r="B25" s="18"/>
      <c r="C25" s="13"/>
      <c r="E25" s="13"/>
      <c r="F25" s="14"/>
      <c r="G25" s="11"/>
      <c r="H25" s="15"/>
      <c r="I25" s="16"/>
      <c r="J25" s="15"/>
      <c r="K25" s="11"/>
      <c r="L25" s="11"/>
      <c r="M25" s="16"/>
      <c r="N25" s="16"/>
      <c r="O25" s="15"/>
      <c r="P25" s="15"/>
      <c r="Q25" s="11"/>
      <c r="R25" s="15"/>
      <c r="S25" s="15"/>
      <c r="T25" s="15"/>
      <c r="V25" s="17"/>
      <c r="X25" s="15"/>
      <c r="AH25" s="3" t="s">
        <v>224</v>
      </c>
      <c r="AI25" s="3">
        <v>6.92</v>
      </c>
      <c r="AK25" s="1" t="s">
        <v>58</v>
      </c>
      <c r="AL25" s="1">
        <f>+AL22+($AR$15*2400)</f>
        <v>200</v>
      </c>
      <c r="AM25" s="1">
        <f>+AM22+($AR$15*2400)</f>
        <v>234</v>
      </c>
      <c r="AN25" s="1">
        <f>+AN22+($AR$15*2400)</f>
        <v>209</v>
      </c>
      <c r="AO25" s="1">
        <f>+AO22+($AR$15*2400)</f>
        <v>251</v>
      </c>
      <c r="AS25" s="1">
        <f>+IF(B20=AC32,IF(C20=AH32,AL25,AM25),IF(C20=AH32,AN25,AO25))</f>
        <v>200</v>
      </c>
    </row>
    <row r="26" spans="1:45" x14ac:dyDescent="0.3">
      <c r="B26" s="13"/>
      <c r="C26" s="13"/>
      <c r="E26" s="13"/>
      <c r="F26" s="14"/>
      <c r="G26" s="11"/>
      <c r="H26" s="15"/>
      <c r="I26" s="16"/>
      <c r="J26" s="15"/>
      <c r="K26" s="11"/>
      <c r="L26" s="11"/>
      <c r="M26" s="16"/>
      <c r="N26" s="16"/>
      <c r="O26" s="15"/>
      <c r="P26" s="15"/>
      <c r="Q26" s="11"/>
      <c r="R26" s="15"/>
      <c r="S26" s="15"/>
      <c r="T26" s="15"/>
      <c r="V26" s="17"/>
      <c r="X26" s="15"/>
      <c r="AH26" s="3" t="s">
        <v>64</v>
      </c>
      <c r="AI26" s="3">
        <f>1.66*1.27</f>
        <v>2.1082000000000001</v>
      </c>
      <c r="AK26" s="1" t="s">
        <v>57</v>
      </c>
      <c r="AL26" s="1">
        <f>+AL23+($AR$16*2400)</f>
        <v>259</v>
      </c>
      <c r="AM26" s="1">
        <f>+AM23+($AR$16*2400)</f>
        <v>302</v>
      </c>
      <c r="AN26" s="1">
        <f>+AN23+($AR$16*2400)</f>
        <v>271</v>
      </c>
      <c r="AO26" s="1">
        <f>+AO23+($AR$16*2400)</f>
        <v>322</v>
      </c>
      <c r="AS26" s="1">
        <f>+IF(B20=AC32,IF(C20=AH32,AL26,AM26),IF(C20=AH32,AN26,AO26))+AR26</f>
        <v>259</v>
      </c>
    </row>
    <row r="27" spans="1:45" ht="15.65" thickBot="1" x14ac:dyDescent="0.35">
      <c r="B27" s="13"/>
      <c r="C27" s="13"/>
      <c r="E27" s="13"/>
      <c r="F27" s="14"/>
      <c r="G27" s="11"/>
      <c r="H27" s="15"/>
      <c r="I27" s="16"/>
      <c r="J27" s="15"/>
      <c r="K27" s="11"/>
      <c r="L27" s="11"/>
      <c r="M27" s="16"/>
      <c r="N27" s="16"/>
      <c r="O27" s="15"/>
      <c r="P27" s="15"/>
      <c r="Q27" s="11"/>
      <c r="R27" s="15"/>
      <c r="S27" s="15"/>
      <c r="T27" s="15"/>
      <c r="V27" s="17"/>
      <c r="X27" s="15"/>
      <c r="AH27" s="6"/>
      <c r="AK27" s="1" t="s">
        <v>155</v>
      </c>
      <c r="AL27" s="12">
        <f>+IF($G$20=$AC$37,1/0.63*$AE$37,IF($G$20=$AC$38,1/0.63*$AE$38,1/0.63*$AE$39))</f>
        <v>7.3650793650793638</v>
      </c>
      <c r="AM27" s="12">
        <f>+IF($G$20=$AC$37,1/0.73*$AE$37,IF($G$20=$AC$38,1/0.73*$AE$38,1/0.73*$AE$39))</f>
        <v>6.3561643835616435</v>
      </c>
      <c r="AN27" s="12">
        <f>+IF($G$20=$AC$37,1/0.665*$AE$37,IF($G$20=$AC$38,1/0.665*$AE$38,1/0.665*$AE$39))</f>
        <v>6.9774436090225551</v>
      </c>
      <c r="AO27" s="12">
        <f>+IF($G$20=$AC$37,1/0.8*$AE$37,IF($G$20=$AC$38,1/0.8*$AE$38,1/0.8*$AE$39))</f>
        <v>5.8</v>
      </c>
    </row>
    <row r="28" spans="1:45" ht="16.899999999999999" thickTop="1" thickBot="1" x14ac:dyDescent="0.35">
      <c r="B28" s="277">
        <f>+F20</f>
        <v>4.6349206349206344</v>
      </c>
      <c r="C28" s="278"/>
      <c r="E28" s="145"/>
      <c r="F28" s="146"/>
      <c r="G28" s="147">
        <f>+H20</f>
        <v>-7.66</v>
      </c>
      <c r="I28" s="148">
        <f>+J20</f>
        <v>1.444</v>
      </c>
      <c r="K28" s="279">
        <f>+P20</f>
        <v>14.184000000000001</v>
      </c>
      <c r="L28" s="280"/>
      <c r="P28" s="281">
        <f>+R20</f>
        <v>1.48</v>
      </c>
      <c r="Q28" s="282"/>
      <c r="S28" s="268">
        <f>+U20+V20</f>
        <v>5.2282000000000002</v>
      </c>
      <c r="T28" s="269"/>
      <c r="V28" s="17"/>
      <c r="X28" s="15"/>
      <c r="AH28" s="6"/>
    </row>
    <row r="29" spans="1:45" ht="15.65" thickTop="1" x14ac:dyDescent="0.3">
      <c r="B29" s="15"/>
      <c r="C29" s="166"/>
      <c r="E29" s="13"/>
      <c r="F29" s="14"/>
      <c r="G29" s="15"/>
      <c r="H29" s="15"/>
      <c r="I29" s="165"/>
      <c r="J29" s="15"/>
      <c r="K29" s="15"/>
      <c r="L29" s="15"/>
      <c r="M29" s="165"/>
      <c r="N29" s="165"/>
      <c r="O29" s="15"/>
      <c r="P29" s="15"/>
      <c r="Q29" s="15"/>
      <c r="R29" s="15"/>
      <c r="S29" s="15"/>
      <c r="T29" s="15"/>
      <c r="V29" s="17"/>
      <c r="X29" s="15"/>
      <c r="AC29" s="1" t="s">
        <v>6</v>
      </c>
    </row>
    <row r="30" spans="1:45" x14ac:dyDescent="0.3">
      <c r="B30" s="15"/>
      <c r="C30" s="166"/>
      <c r="E30" s="13"/>
      <c r="F30" s="14"/>
      <c r="G30" s="15"/>
      <c r="H30" s="15"/>
      <c r="I30" s="165"/>
      <c r="J30" s="15"/>
      <c r="K30" s="15"/>
      <c r="L30" s="15"/>
      <c r="M30" s="165"/>
      <c r="N30" s="165"/>
      <c r="O30" s="15"/>
      <c r="P30" s="15"/>
      <c r="Q30" s="15"/>
      <c r="R30" s="15"/>
      <c r="S30" s="15"/>
      <c r="T30" s="15"/>
      <c r="V30" s="17"/>
      <c r="X30" s="15"/>
    </row>
    <row r="31" spans="1:45" ht="15.05" customHeight="1" x14ac:dyDescent="0.3">
      <c r="C31" s="219" t="s">
        <v>221</v>
      </c>
      <c r="D31" s="220"/>
      <c r="E31" s="220"/>
      <c r="F31" s="220"/>
      <c r="G31" s="220"/>
      <c r="H31" s="220"/>
      <c r="I31" s="221"/>
      <c r="J31" s="183"/>
      <c r="K31" s="15"/>
      <c r="L31" s="15" t="s">
        <v>80</v>
      </c>
      <c r="M31" s="165"/>
      <c r="N31" s="165"/>
      <c r="O31" s="15"/>
      <c r="P31" s="15"/>
      <c r="Q31" s="15"/>
      <c r="R31" s="15"/>
      <c r="S31" s="175">
        <f>+N20</f>
        <v>200</v>
      </c>
      <c r="T31" s="15"/>
      <c r="V31" s="17"/>
      <c r="X31" s="15"/>
    </row>
    <row r="32" spans="1:45" ht="15.05" customHeight="1" x14ac:dyDescent="0.3">
      <c r="C32" s="223" t="str">
        <f>"plancher"&amp;" "&amp;+VLOOKUP(G20,AC37:AF39,4,FALSE)&amp;" "&amp;"+"&amp;" "&amp;L20 &amp;"   EBS"&amp;"  "&amp;B20</f>
        <v>plancher 15 + 5   EBS  GF 112 à GF 125</v>
      </c>
      <c r="D32" s="224"/>
      <c r="E32" s="224"/>
      <c r="F32" s="224"/>
      <c r="G32" s="224"/>
      <c r="H32" s="224"/>
      <c r="I32" s="225"/>
      <c r="J32" s="15"/>
      <c r="K32" s="15"/>
      <c r="L32" s="15" t="s">
        <v>222</v>
      </c>
      <c r="M32" s="165"/>
      <c r="N32" s="165"/>
      <c r="O32" s="15"/>
      <c r="P32" s="15"/>
      <c r="Q32" s="15"/>
      <c r="R32" s="15"/>
      <c r="S32" s="177">
        <f>+M20</f>
        <v>72</v>
      </c>
      <c r="T32" s="15"/>
      <c r="V32" s="17"/>
      <c r="X32" s="15"/>
      <c r="AC32" s="3" t="s">
        <v>65</v>
      </c>
      <c r="AD32" s="3">
        <v>2.92</v>
      </c>
      <c r="AE32" s="3" t="s">
        <v>8</v>
      </c>
      <c r="AF32" s="1">
        <v>4.09</v>
      </c>
      <c r="AH32" s="3" t="s">
        <v>44</v>
      </c>
    </row>
    <row r="33" spans="2:37" x14ac:dyDescent="0.3">
      <c r="D33" s="15"/>
      <c r="E33" s="166"/>
      <c r="F33" s="14"/>
      <c r="G33" s="15"/>
      <c r="H33" s="15"/>
      <c r="I33" s="165"/>
      <c r="J33" s="15"/>
      <c r="K33" s="15"/>
      <c r="L33" s="15"/>
      <c r="M33" s="165"/>
      <c r="N33" s="165"/>
      <c r="O33" s="15"/>
      <c r="P33" s="15"/>
      <c r="Q33" s="15"/>
      <c r="R33" s="15"/>
      <c r="S33" s="15"/>
      <c r="T33" s="15"/>
      <c r="V33" s="17"/>
      <c r="X33" s="15"/>
      <c r="AC33" s="3" t="s">
        <v>66</v>
      </c>
      <c r="AD33" s="3">
        <v>4.09</v>
      </c>
      <c r="AE33" s="3" t="s">
        <v>8</v>
      </c>
      <c r="AF33" s="1">
        <v>2.92</v>
      </c>
      <c r="AH33" s="3" t="s">
        <v>45</v>
      </c>
    </row>
    <row r="34" spans="2:37" ht="15.65" thickBot="1" x14ac:dyDescent="0.35">
      <c r="C34" s="13"/>
      <c r="E34" s="13"/>
      <c r="F34" s="14"/>
      <c r="G34" s="11"/>
      <c r="H34" s="15"/>
      <c r="I34" s="16"/>
      <c r="J34" s="15"/>
      <c r="K34" s="11"/>
      <c r="L34" s="11"/>
      <c r="M34" s="16"/>
      <c r="N34" s="16"/>
      <c r="O34" s="15"/>
      <c r="P34" s="15"/>
      <c r="Q34" s="11"/>
      <c r="R34" s="15"/>
      <c r="S34" s="15"/>
      <c r="T34" s="15"/>
      <c r="V34" s="17"/>
      <c r="X34" s="15"/>
      <c r="AC34" s="3" t="s">
        <v>10</v>
      </c>
      <c r="AD34" s="3">
        <v>5.32</v>
      </c>
      <c r="AE34" s="3" t="s">
        <v>8</v>
      </c>
      <c r="AF34" s="1">
        <v>5.32</v>
      </c>
      <c r="AH34" s="3"/>
    </row>
    <row r="35" spans="2:37" ht="15.65" thickTop="1" x14ac:dyDescent="0.3">
      <c r="C35" s="13"/>
      <c r="E35" s="13"/>
      <c r="F35" s="14"/>
      <c r="G35" s="11"/>
      <c r="H35" s="15"/>
      <c r="I35" s="16"/>
      <c r="J35" s="15"/>
      <c r="K35" s="264">
        <f>+B28+G28+I28+K28+P28+S28</f>
        <v>19.311120634920638</v>
      </c>
      <c r="L35" s="265"/>
      <c r="M35" s="16"/>
      <c r="N35" s="16"/>
      <c r="O35" s="15"/>
      <c r="P35" s="15"/>
      <c r="Q35" s="257" t="s">
        <v>82</v>
      </c>
      <c r="R35" s="15"/>
      <c r="S35" s="15"/>
      <c r="T35" s="15"/>
      <c r="V35" s="17"/>
      <c r="X35" s="15"/>
      <c r="AC35" s="3"/>
    </row>
    <row r="36" spans="2:37" ht="15.65" thickBot="1" x14ac:dyDescent="0.35">
      <c r="K36" s="266"/>
      <c r="L36" s="267"/>
      <c r="Q36" s="257"/>
      <c r="AD36" s="1" t="s">
        <v>12</v>
      </c>
      <c r="AE36" s="6" t="s">
        <v>154</v>
      </c>
    </row>
    <row r="37" spans="2:37" ht="16.3" thickTop="1" thickBot="1" x14ac:dyDescent="0.35">
      <c r="C37" s="10"/>
      <c r="Q37" s="11"/>
      <c r="AC37" s="1" t="s">
        <v>105</v>
      </c>
      <c r="AD37" s="1">
        <v>-7.66</v>
      </c>
      <c r="AE37" s="7">
        <f>5.7/1.25</f>
        <v>4.5600000000000005</v>
      </c>
      <c r="AF37" s="1">
        <v>12</v>
      </c>
      <c r="AH37" s="1" t="s">
        <v>13</v>
      </c>
    </row>
    <row r="38" spans="2:37" ht="15.65" thickBot="1" x14ac:dyDescent="0.35">
      <c r="G38" s="134" t="s">
        <v>157</v>
      </c>
      <c r="L38" s="133">
        <f>+IF(B20=AC32,IF(C20=AH32,AL27,AM27),IF(B20=AC33,IF(C20=AH32,AN27,AO27)))</f>
        <v>7.3650793650793638</v>
      </c>
      <c r="Q38" s="1" t="s">
        <v>156</v>
      </c>
      <c r="AC38" s="1" t="s">
        <v>60</v>
      </c>
      <c r="AD38" s="1">
        <v>-7.66</v>
      </c>
      <c r="AE38" s="4">
        <f>5.8/1.25</f>
        <v>4.6399999999999997</v>
      </c>
      <c r="AF38" s="1">
        <v>15</v>
      </c>
      <c r="AH38" s="3" t="s">
        <v>16</v>
      </c>
      <c r="AI38" s="3">
        <v>1.23</v>
      </c>
      <c r="AK38" s="3" t="s">
        <v>9</v>
      </c>
    </row>
    <row r="39" spans="2:37" x14ac:dyDescent="0.3">
      <c r="AC39" s="1" t="s">
        <v>61</v>
      </c>
      <c r="AD39" s="1">
        <v>-7.66</v>
      </c>
      <c r="AE39" s="4">
        <f>7.25/1.25</f>
        <v>5.8</v>
      </c>
      <c r="AF39" s="1">
        <v>20</v>
      </c>
      <c r="AH39" s="3"/>
      <c r="AI39" s="3"/>
      <c r="AK39" s="3" t="s">
        <v>7</v>
      </c>
    </row>
    <row r="40" spans="2:37" x14ac:dyDescent="0.3">
      <c r="AE40" s="12"/>
      <c r="AH40" s="3" t="s">
        <v>19</v>
      </c>
      <c r="AI40" s="3">
        <v>3.68</v>
      </c>
    </row>
    <row r="41" spans="2:37" ht="15.65" x14ac:dyDescent="0.3">
      <c r="B41" s="144" t="s">
        <v>223</v>
      </c>
      <c r="E41" s="12"/>
      <c r="L41" s="90" t="s">
        <v>175</v>
      </c>
      <c r="AE41" s="12"/>
    </row>
    <row r="42" spans="2:37" x14ac:dyDescent="0.3">
      <c r="B42" s="28" t="str">
        <f>+IF(B20=AC32,AK46,AK47)</f>
        <v>FDES_Poutrelle_BP H inf. 12cm_03.2020 n°1-72:2020</v>
      </c>
      <c r="E42" s="12"/>
      <c r="AE42" s="12"/>
    </row>
    <row r="43" spans="2:37" x14ac:dyDescent="0.3">
      <c r="B43" s="28" t="str">
        <f>AK49</f>
        <v>FDES_Engelvin bois moulé n°1-33 : 2020</v>
      </c>
      <c r="E43" s="12"/>
      <c r="AE43" s="12"/>
      <c r="AH43" s="1">
        <v>5</v>
      </c>
    </row>
    <row r="44" spans="2:37" x14ac:dyDescent="0.3">
      <c r="B44" s="28" t="str">
        <f>AK50</f>
        <v>APA_FDES__Armatures catalogue_2023_06_v1.3</v>
      </c>
      <c r="E44" s="12"/>
      <c r="AC44" s="1" t="s">
        <v>155</v>
      </c>
      <c r="AE44" s="12"/>
      <c r="AH44" s="1">
        <v>6</v>
      </c>
    </row>
    <row r="45" spans="2:37" x14ac:dyDescent="0.3">
      <c r="B45" s="28" t="str">
        <f>VLOOKUP(K20,AC20:AE21,3,FALSE)</f>
        <v>Beton_(hors armature) pour dalle C25 30 XC1 XC2 CEMII A_07_2019</v>
      </c>
      <c r="E45" s="12"/>
      <c r="AE45" s="12"/>
      <c r="AH45" s="1">
        <v>7</v>
      </c>
    </row>
    <row r="46" spans="2:37" x14ac:dyDescent="0.3">
      <c r="B46" s="28" t="str">
        <f>IF(Q20=AH14,"",VLOOKUP(Q20,AJ52:AK54,2,FALSE))</f>
        <v>FDES_2022_05_24_GR32_Revetu Kraft_45MM</v>
      </c>
      <c r="E46" s="12"/>
      <c r="AE46" s="12"/>
      <c r="AH46" s="1">
        <v>8</v>
      </c>
      <c r="AK46" s="1" t="s">
        <v>72</v>
      </c>
    </row>
    <row r="47" spans="2:37" x14ac:dyDescent="0.3">
      <c r="B47" s="29" t="str">
        <f>IF(S20=AH23,"",VLOOKUP(S20,AJ56:AK57,2,FALSE))</f>
        <v>FDES_KNAUF_KF-BA-13_2023-07-12</v>
      </c>
      <c r="E47" s="12"/>
      <c r="K47" s="158"/>
      <c r="Q47" s="158"/>
      <c r="AE47" s="12"/>
      <c r="AH47" s="1">
        <v>9</v>
      </c>
      <c r="AK47" s="1" t="s">
        <v>73</v>
      </c>
    </row>
    <row r="48" spans="2:37" x14ac:dyDescent="0.3">
      <c r="B48" s="28" t="str">
        <f>+IF(S20=AH23,"",AK55)</f>
        <v>EVEA_pour GIOFS_FDES Ossatures pour plafonds - fourrures_ cornieres et lisses 03-2021</v>
      </c>
      <c r="AH48" s="1">
        <v>10</v>
      </c>
    </row>
    <row r="49" spans="5:37" x14ac:dyDescent="0.3">
      <c r="E49" s="12"/>
      <c r="AK49" s="1" t="s">
        <v>74</v>
      </c>
    </row>
    <row r="50" spans="5:37" x14ac:dyDescent="0.3">
      <c r="E50" s="12"/>
      <c r="AE50" s="12"/>
      <c r="AK50" s="1" t="s">
        <v>75</v>
      </c>
    </row>
    <row r="51" spans="5:37" x14ac:dyDescent="0.3">
      <c r="E51" s="12"/>
      <c r="AE51" s="12"/>
      <c r="AK51" s="1" t="s">
        <v>127</v>
      </c>
    </row>
    <row r="52" spans="5:37" x14ac:dyDescent="0.3">
      <c r="E52" s="12"/>
      <c r="AE52" s="12"/>
      <c r="AJ52" s="3" t="s">
        <v>62</v>
      </c>
      <c r="AK52" s="1" t="s">
        <v>77</v>
      </c>
    </row>
    <row r="53" spans="5:37" x14ac:dyDescent="0.3">
      <c r="E53" s="12"/>
      <c r="AE53" s="12"/>
      <c r="AJ53" s="3" t="s">
        <v>63</v>
      </c>
      <c r="AK53" s="1" t="s">
        <v>76</v>
      </c>
    </row>
    <row r="54" spans="5:37" x14ac:dyDescent="0.3">
      <c r="E54" s="12"/>
      <c r="AE54" s="12"/>
      <c r="AJ54" s="3" t="s">
        <v>226</v>
      </c>
      <c r="AK54" s="1" t="s">
        <v>227</v>
      </c>
    </row>
    <row r="55" spans="5:37" x14ac:dyDescent="0.3">
      <c r="E55" s="12"/>
      <c r="AE55" s="12"/>
      <c r="AK55" s="1" t="s">
        <v>126</v>
      </c>
    </row>
    <row r="56" spans="5:37" x14ac:dyDescent="0.3">
      <c r="E56" s="12"/>
      <c r="AE56" s="12"/>
      <c r="AJ56" s="1" t="s">
        <v>53</v>
      </c>
      <c r="AK56" s="1" t="s">
        <v>78</v>
      </c>
    </row>
    <row r="57" spans="5:37" x14ac:dyDescent="0.3">
      <c r="AE57" s="12"/>
      <c r="AJ57" s="1" t="s">
        <v>224</v>
      </c>
      <c r="AK57" s="1" t="s">
        <v>225</v>
      </c>
    </row>
    <row r="58" spans="5:37" x14ac:dyDescent="0.3">
      <c r="AE58" s="12"/>
    </row>
    <row r="59" spans="5:37" x14ac:dyDescent="0.3">
      <c r="AE59" s="12"/>
    </row>
  </sheetData>
  <sheetProtection algorithmName="SHA-512" hashValue="0U7Hm8ALcBLrAVCESslFI2heFCzGIq3s7l6hohwm/SHFixdfwl68G2TUsbtrrbBrC/kRQpxYr92/jqDgUnteNg==" saltValue="MwApDoZLC9CtvRjdrj/NwA==" spinCount="100000" sheet="1" objects="1" scenarios="1"/>
  <mergeCells count="35">
    <mergeCell ref="C5:Q5"/>
    <mergeCell ref="Q35:Q36"/>
    <mergeCell ref="G18:G19"/>
    <mergeCell ref="H18:H19"/>
    <mergeCell ref="W17:W18"/>
    <mergeCell ref="S20:T20"/>
    <mergeCell ref="K35:L36"/>
    <mergeCell ref="S28:T28"/>
    <mergeCell ref="F14:G14"/>
    <mergeCell ref="B17:F17"/>
    <mergeCell ref="G17:H17"/>
    <mergeCell ref="B28:C28"/>
    <mergeCell ref="K28:L28"/>
    <mergeCell ref="P28:Q28"/>
    <mergeCell ref="C18:C19"/>
    <mergeCell ref="C31:I31"/>
    <mergeCell ref="X17:X18"/>
    <mergeCell ref="I18:I19"/>
    <mergeCell ref="J18:J19"/>
    <mergeCell ref="K18:K19"/>
    <mergeCell ref="Q17:T17"/>
    <mergeCell ref="S18:S19"/>
    <mergeCell ref="M18:M19"/>
    <mergeCell ref="O18:O19"/>
    <mergeCell ref="P18:P19"/>
    <mergeCell ref="Q18:Q19"/>
    <mergeCell ref="R18:R19"/>
    <mergeCell ref="L18:L19"/>
    <mergeCell ref="I17:J17"/>
    <mergeCell ref="K17:P17"/>
    <mergeCell ref="C32:I32"/>
    <mergeCell ref="B18:B19"/>
    <mergeCell ref="E18:E19"/>
    <mergeCell ref="F18:F19"/>
    <mergeCell ref="B24:T24"/>
  </mergeCells>
  <phoneticPr fontId="6" type="noConversion"/>
  <conditionalFormatting sqref="P28:T28">
    <cfRule type="cellIs" dxfId="1" priority="1" operator="equal">
      <formula>0</formula>
    </cfRule>
  </conditionalFormatting>
  <dataValidations count="7">
    <dataValidation type="list" allowBlank="1" showInputMessage="1" showErrorMessage="1" sqref="Q20" xr:uid="{00000000-0002-0000-0000-000000000000}">
      <formula1>$AH$14:$AH$17</formula1>
    </dataValidation>
    <dataValidation type="list" allowBlank="1" showInputMessage="1" showErrorMessage="1" sqref="K20" xr:uid="{00000000-0002-0000-0000-000002000000}">
      <formula1>$AC$20:$AC$21</formula1>
    </dataValidation>
    <dataValidation type="list" allowBlank="1" showInputMessage="1" showErrorMessage="1" sqref="C20" xr:uid="{00000000-0002-0000-0000-000004000000}">
      <formula1>$AH$32:$AH$33</formula1>
    </dataValidation>
    <dataValidation type="list" allowBlank="1" showInputMessage="1" showErrorMessage="1" sqref="B20" xr:uid="{00000000-0002-0000-0000-000005000000}">
      <formula1>$AC$32:$AC$33</formula1>
    </dataValidation>
    <dataValidation type="list" allowBlank="1" showInputMessage="1" showErrorMessage="1" sqref="G20" xr:uid="{00000000-0002-0000-0000-000006000000}">
      <formula1>$AC$37:$AC$39</formula1>
    </dataValidation>
    <dataValidation type="list" allowBlank="1" showInputMessage="1" showErrorMessage="1" sqref="L20" xr:uid="{00000000-0002-0000-0000-000007000000}">
      <formula1>$AH$43:$AH$48</formula1>
    </dataValidation>
    <dataValidation type="list" allowBlank="1" showInputMessage="1" showErrorMessage="1" sqref="S20:T20" xr:uid="{71684CE7-3BC8-406A-9377-B67C7AB28375}">
      <formula1>$AH$23:$AH$25</formula1>
    </dataValidation>
  </dataValidations>
  <pageMargins left="0.25" right="0.25" top="0.75" bottom="0.75" header="0.3" footer="0.3"/>
  <pageSetup paperSize="9" scale="67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63F92-4C15-4EA8-A417-1C00F7450B4B}">
  <sheetPr codeName="Feuil4"/>
  <dimension ref="A6:AU57"/>
  <sheetViews>
    <sheetView showGridLines="0" showRowColHeaders="0" zoomScale="70" zoomScaleNormal="70" workbookViewId="0"/>
  </sheetViews>
  <sheetFormatPr baseColWidth="10" defaultColWidth="10.88671875" defaultRowHeight="15.05" x14ac:dyDescent="0.3"/>
  <cols>
    <col min="1" max="1" width="19.33203125" style="1" customWidth="1"/>
    <col min="2" max="2" width="26.44140625" style="1" customWidth="1"/>
    <col min="3" max="3" width="16.21875" style="1" customWidth="1"/>
    <col min="4" max="4" width="5.109375" style="1" hidden="1" customWidth="1"/>
    <col min="5" max="5" width="7.21875" style="1" hidden="1" customWidth="1"/>
    <col min="6" max="6" width="8.6640625" style="1" hidden="1" customWidth="1"/>
    <col min="7" max="7" width="16.6640625" style="1" customWidth="1"/>
    <col min="8" max="8" width="8.6640625" style="1" hidden="1" customWidth="1"/>
    <col min="9" max="9" width="14.77734375" style="2" customWidth="1"/>
    <col min="10" max="10" width="8.77734375" style="1" hidden="1" customWidth="1"/>
    <col min="11" max="11" width="15.5546875" style="1" customWidth="1"/>
    <col min="12" max="12" width="12.6640625" style="1" customWidth="1"/>
    <col min="13" max="13" width="5" style="2" hidden="1" customWidth="1"/>
    <col min="14" max="14" width="11.77734375" style="2" hidden="1" customWidth="1"/>
    <col min="15" max="15" width="8.77734375" style="1" hidden="1" customWidth="1"/>
    <col min="16" max="16" width="10.88671875" style="1" hidden="1" customWidth="1"/>
    <col min="17" max="17" width="13.6640625" style="1" hidden="1" customWidth="1"/>
    <col min="18" max="18" width="8.5546875" style="1" hidden="1" customWidth="1"/>
    <col min="19" max="19" width="12.109375" style="1" customWidth="1"/>
    <col min="20" max="20" width="8.5546875" style="1" customWidth="1"/>
    <col min="21" max="24" width="12.44140625" style="1" hidden="1" customWidth="1"/>
    <col min="25" max="25" width="12.44140625" style="1" customWidth="1"/>
    <col min="26" max="26" width="10.88671875" style="1"/>
    <col min="27" max="27" width="10.88671875" style="1" customWidth="1"/>
    <col min="28" max="28" width="10.88671875" style="1" hidden="1" customWidth="1"/>
    <col min="29" max="29" width="26.44140625" style="1" hidden="1" customWidth="1"/>
    <col min="30" max="34" width="10.88671875" style="1" hidden="1" customWidth="1"/>
    <col min="35" max="35" width="22.21875" style="1" hidden="1" customWidth="1"/>
    <col min="36" max="36" width="10.88671875" style="1" hidden="1" customWidth="1"/>
    <col min="37" max="37" width="15.33203125" style="1" hidden="1" customWidth="1"/>
    <col min="38" max="47" width="10.88671875" style="1" hidden="1" customWidth="1"/>
    <col min="48" max="16384" width="10.88671875" style="1"/>
  </cols>
  <sheetData>
    <row r="6" spans="1:45" ht="20.05" customHeight="1" x14ac:dyDescent="0.3">
      <c r="B6" s="135">
        <f ca="1">+TODAY()</f>
        <v>45237</v>
      </c>
      <c r="C6" s="254" t="s">
        <v>219</v>
      </c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6"/>
    </row>
    <row r="9" spans="1:45" ht="18.2" x14ac:dyDescent="0.35">
      <c r="G9" s="64"/>
      <c r="H9" s="64"/>
      <c r="I9" s="65"/>
      <c r="J9" s="64"/>
      <c r="K9" s="64"/>
      <c r="L9" s="64"/>
    </row>
    <row r="10" spans="1:45" x14ac:dyDescent="0.3">
      <c r="A10" s="135"/>
    </row>
    <row r="12" spans="1:45" ht="15.65" thickBot="1" x14ac:dyDescent="0.35"/>
    <row r="13" spans="1:45" ht="18.8" thickBot="1" x14ac:dyDescent="0.4">
      <c r="F13" s="34"/>
      <c r="I13" s="1"/>
      <c r="M13" s="35" t="s">
        <v>29</v>
      </c>
      <c r="N13" s="35"/>
      <c r="O13" s="35"/>
      <c r="P13" s="51"/>
      <c r="Q13" s="52"/>
      <c r="AL13" s="5" t="s">
        <v>46</v>
      </c>
      <c r="AM13" s="5" t="s">
        <v>49</v>
      </c>
      <c r="AN13" s="5" t="s">
        <v>47</v>
      </c>
      <c r="AO13" s="5" t="s">
        <v>50</v>
      </c>
      <c r="AP13" s="5" t="s">
        <v>67</v>
      </c>
      <c r="AQ13" s="5" t="s">
        <v>68</v>
      </c>
      <c r="AR13" s="1" t="s">
        <v>48</v>
      </c>
    </row>
    <row r="14" spans="1:45" x14ac:dyDescent="0.3">
      <c r="B14" s="37"/>
      <c r="C14" s="38"/>
      <c r="D14" s="38"/>
      <c r="E14" s="38"/>
      <c r="F14" s="270"/>
      <c r="G14" s="270"/>
      <c r="H14" s="38"/>
      <c r="I14" s="39"/>
      <c r="J14" s="38"/>
      <c r="K14" s="38"/>
      <c r="L14" s="38"/>
      <c r="M14" s="39"/>
      <c r="N14" s="39"/>
      <c r="O14" s="38"/>
      <c r="P14" s="38"/>
      <c r="Q14" s="38"/>
      <c r="R14" s="38"/>
      <c r="S14" s="38"/>
      <c r="T14" s="40"/>
      <c r="U14" s="53"/>
      <c r="AH14" s="3" t="s">
        <v>5</v>
      </c>
      <c r="AI14" s="3">
        <v>0</v>
      </c>
      <c r="AK14" s="1" t="s">
        <v>105</v>
      </c>
      <c r="AL14" s="1">
        <v>6.3E-2</v>
      </c>
      <c r="AM14" s="1">
        <v>6.7000000000000004E-2</v>
      </c>
      <c r="AN14" s="1">
        <v>6.3E-2</v>
      </c>
      <c r="AO14" s="1">
        <v>6.7000000000000004E-2</v>
      </c>
      <c r="AR14" s="1">
        <f>+(L20-5)/100</f>
        <v>0</v>
      </c>
      <c r="AS14" s="1">
        <f>+IF(B20=AC31,IF(C20=AH31,AL14,AM14),IF(C20=AH31,AN14,AO14))+AR14</f>
        <v>6.3E-2</v>
      </c>
    </row>
    <row r="15" spans="1:45" x14ac:dyDescent="0.3">
      <c r="B15" s="41"/>
      <c r="C15" s="58"/>
      <c r="D15" s="58"/>
      <c r="E15" s="58"/>
      <c r="F15" s="58"/>
      <c r="G15" s="58"/>
      <c r="H15" s="58"/>
      <c r="I15" s="59"/>
      <c r="J15" s="58"/>
      <c r="K15" s="58"/>
      <c r="L15" s="58"/>
      <c r="M15" s="59"/>
      <c r="N15" s="59"/>
      <c r="O15" s="58"/>
      <c r="P15" s="58"/>
      <c r="Q15" s="58"/>
      <c r="R15" s="58"/>
      <c r="S15" s="58"/>
      <c r="T15" s="42"/>
      <c r="U15" s="54"/>
      <c r="AH15" s="3" t="s">
        <v>62</v>
      </c>
      <c r="AI15" s="3">
        <v>1.48</v>
      </c>
      <c r="AK15" s="1" t="s">
        <v>60</v>
      </c>
      <c r="AL15" s="1">
        <v>7.1999999999999995E-2</v>
      </c>
      <c r="AM15" s="1">
        <v>7.8E-2</v>
      </c>
      <c r="AN15" s="1">
        <v>7.2999999999999995E-2</v>
      </c>
      <c r="AO15" s="1">
        <v>7.9000000000000001E-2</v>
      </c>
      <c r="AP15" s="1">
        <v>7.0000000000000007E-2</v>
      </c>
      <c r="AQ15" s="5">
        <v>7.5999999999999998E-2</v>
      </c>
      <c r="AR15" s="1">
        <f>+(L20-5)/100</f>
        <v>0</v>
      </c>
      <c r="AS15" s="1">
        <f>+IF(B20=AC31,IF(C20=AH31,AL15,AM15),IF(C20=AH31,AN15,AO15))+AR15</f>
        <v>7.2999999999999995E-2</v>
      </c>
    </row>
    <row r="16" spans="1:45" x14ac:dyDescent="0.3">
      <c r="B16" s="41"/>
      <c r="C16" s="58"/>
      <c r="D16" s="58"/>
      <c r="E16" s="58"/>
      <c r="F16" s="58"/>
      <c r="G16" s="58"/>
      <c r="H16" s="58"/>
      <c r="I16" s="59"/>
      <c r="J16" s="58"/>
      <c r="K16" s="58"/>
      <c r="L16" s="58"/>
      <c r="M16" s="59"/>
      <c r="N16" s="59"/>
      <c r="O16" s="58"/>
      <c r="P16" s="58"/>
      <c r="Q16" s="58"/>
      <c r="R16" s="58"/>
      <c r="S16" s="58"/>
      <c r="T16" s="42"/>
      <c r="U16" s="54"/>
      <c r="AH16" s="3" t="s">
        <v>63</v>
      </c>
      <c r="AI16" s="3">
        <v>3.18</v>
      </c>
      <c r="AK16" s="1" t="s">
        <v>61</v>
      </c>
      <c r="AL16" s="1">
        <v>9.1999999999999998E-2</v>
      </c>
      <c r="AM16" s="1">
        <v>0.10299999999999999</v>
      </c>
      <c r="AN16" s="1">
        <v>9.4E-2</v>
      </c>
      <c r="AO16" s="1">
        <v>0.106</v>
      </c>
      <c r="AP16" s="1">
        <v>9.1999999999999998E-2</v>
      </c>
      <c r="AQ16" s="1">
        <v>0.10199999999999999</v>
      </c>
      <c r="AR16" s="1">
        <f>+(L20-5)/100</f>
        <v>0</v>
      </c>
      <c r="AS16" s="1">
        <f>+IF(B20=AC31,IF(C20=AH31,AL16,AM16),IF(C20=AH31,AN16,AO16))+AR16</f>
        <v>9.4E-2</v>
      </c>
    </row>
    <row r="17" spans="1:45" hidden="1" x14ac:dyDescent="0.3">
      <c r="B17" s="271" t="s">
        <v>30</v>
      </c>
      <c r="C17" s="272"/>
      <c r="D17" s="273"/>
      <c r="E17" s="273"/>
      <c r="F17" s="274"/>
      <c r="G17" s="275" t="s">
        <v>31</v>
      </c>
      <c r="H17" s="276"/>
      <c r="I17" s="248" t="s">
        <v>32</v>
      </c>
      <c r="J17" s="249"/>
      <c r="K17" s="250" t="s">
        <v>33</v>
      </c>
      <c r="L17" s="251"/>
      <c r="M17" s="252"/>
      <c r="N17" s="252"/>
      <c r="O17" s="252"/>
      <c r="P17" s="253"/>
      <c r="Q17" s="235" t="s">
        <v>51</v>
      </c>
      <c r="R17" s="236"/>
      <c r="S17" s="237"/>
      <c r="T17" s="238"/>
      <c r="U17" s="54"/>
      <c r="W17" s="260" t="s">
        <v>34</v>
      </c>
      <c r="X17" s="232" t="s">
        <v>35</v>
      </c>
      <c r="AH17" s="3" t="s">
        <v>53</v>
      </c>
      <c r="AI17" s="3">
        <v>4.18</v>
      </c>
    </row>
    <row r="18" spans="1:45" ht="14.75" customHeight="1" x14ac:dyDescent="0.3">
      <c r="B18" s="226"/>
      <c r="C18" s="245"/>
      <c r="D18" s="43"/>
      <c r="E18" s="228" t="s">
        <v>36</v>
      </c>
      <c r="F18" s="230" t="s">
        <v>37</v>
      </c>
      <c r="G18" s="245" t="s">
        <v>38</v>
      </c>
      <c r="H18" s="258" t="s">
        <v>39</v>
      </c>
      <c r="I18" s="233"/>
      <c r="J18" s="234" t="s">
        <v>39</v>
      </c>
      <c r="K18" s="233"/>
      <c r="L18" s="233"/>
      <c r="M18" s="239" t="s">
        <v>40</v>
      </c>
      <c r="N18" s="44" t="s">
        <v>59</v>
      </c>
      <c r="O18" s="241" t="s">
        <v>2</v>
      </c>
      <c r="P18" s="243" t="s">
        <v>39</v>
      </c>
      <c r="Q18" s="245"/>
      <c r="R18" s="283" t="s">
        <v>41</v>
      </c>
      <c r="S18" s="233"/>
      <c r="T18" s="42"/>
      <c r="U18" s="55"/>
      <c r="V18" s="45"/>
      <c r="W18" s="261"/>
      <c r="X18" s="232"/>
      <c r="Z18" s="5"/>
      <c r="AA18" s="5"/>
      <c r="AH18" s="3" t="s">
        <v>52</v>
      </c>
      <c r="AI18" s="3">
        <v>5.18</v>
      </c>
      <c r="AK18" s="1" t="s">
        <v>54</v>
      </c>
      <c r="AL18" s="1">
        <f>18.9*1.59</f>
        <v>30.050999999999998</v>
      </c>
      <c r="AM18" s="1">
        <f>1.37*18.9*2</f>
        <v>51.786000000000001</v>
      </c>
      <c r="AN18" s="1">
        <f>1.5*26.3</f>
        <v>39.450000000000003</v>
      </c>
      <c r="AO18" s="1">
        <f>1.25*26.3*2</f>
        <v>65.75</v>
      </c>
    </row>
    <row r="19" spans="1:45" ht="15.65" thickBot="1" x14ac:dyDescent="0.35">
      <c r="A19" s="137" t="s">
        <v>158</v>
      </c>
      <c r="B19" s="227"/>
      <c r="C19" s="245"/>
      <c r="D19" s="46"/>
      <c r="E19" s="229"/>
      <c r="F19" s="230"/>
      <c r="G19" s="245"/>
      <c r="H19" s="259"/>
      <c r="I19" s="233"/>
      <c r="J19" s="234"/>
      <c r="K19" s="233"/>
      <c r="L19" s="233"/>
      <c r="M19" s="240"/>
      <c r="N19" s="47"/>
      <c r="O19" s="242"/>
      <c r="P19" s="244"/>
      <c r="Q19" s="245"/>
      <c r="R19" s="284"/>
      <c r="S19" s="233"/>
      <c r="T19" s="42"/>
      <c r="U19" s="55" t="s">
        <v>71</v>
      </c>
      <c r="V19" s="45" t="s">
        <v>81</v>
      </c>
      <c r="W19" s="8" t="s">
        <v>42</v>
      </c>
      <c r="X19" s="9" t="s">
        <v>43</v>
      </c>
      <c r="AC19" t="s">
        <v>1</v>
      </c>
      <c r="AD19" s="67" t="s">
        <v>2</v>
      </c>
      <c r="AE19"/>
      <c r="AK19" s="1" t="s">
        <v>55</v>
      </c>
      <c r="AL19" s="1">
        <f>1.59*4.7</f>
        <v>7.4730000000000008</v>
      </c>
      <c r="AM19" s="1">
        <f>1.37*4.7</f>
        <v>6.4390000000000009</v>
      </c>
      <c r="AN19" s="1">
        <f>1.5*4.7</f>
        <v>7.0500000000000007</v>
      </c>
      <c r="AO19" s="1">
        <f>1.25*4.7</f>
        <v>5.875</v>
      </c>
    </row>
    <row r="20" spans="1:45" ht="16.899999999999999" thickTop="1" thickBot="1" x14ac:dyDescent="0.35">
      <c r="B20" s="36" t="s">
        <v>66</v>
      </c>
      <c r="C20" s="19" t="s">
        <v>44</v>
      </c>
      <c r="D20" s="125">
        <f>+VLOOKUP(B20,$AC$31:$AD$33,2,FALSE)</f>
        <v>4.09</v>
      </c>
      <c r="E20" s="22">
        <f>+IF(B20=AC31,IF(C20=AH31,63,73),IF(C20=AH31,66.5,80))</f>
        <v>66.5</v>
      </c>
      <c r="F20" s="126">
        <f>+IF( C20=AH31,D20*(1/E20),D20*(1/E20*2))*100</f>
        <v>6.1503759398496234</v>
      </c>
      <c r="G20" s="20" t="s">
        <v>60</v>
      </c>
      <c r="H20" s="127">
        <f>+VLOOKUP(G20,$AC$36:$AD$45,2,FALSE)</f>
        <v>-7.66</v>
      </c>
      <c r="I20" s="86">
        <v>2</v>
      </c>
      <c r="J20" s="127">
        <f>+I20*0.722</f>
        <v>1.444</v>
      </c>
      <c r="K20" s="23" t="s">
        <v>4</v>
      </c>
      <c r="L20" s="24">
        <v>5</v>
      </c>
      <c r="M20" s="25">
        <f>IF(G20=AC37,(AS15*1000),AS16*1000)</f>
        <v>73</v>
      </c>
      <c r="N20" s="26">
        <f>IF(G20=AC36,AS24,IF(G20=AC37,AS25,AS26))</f>
        <v>209</v>
      </c>
      <c r="O20" s="128">
        <f>+VLOOKUP(K20,$AC$20:$AD$21,2,FALSE)</f>
        <v>0.19700000000000001</v>
      </c>
      <c r="P20" s="129">
        <f>+O20*M20</f>
        <v>14.381</v>
      </c>
      <c r="Q20" s="21" t="s">
        <v>5</v>
      </c>
      <c r="R20" s="130">
        <f>+VLOOKUP(Q20,$AH$14:$AI$16,2,FALSE)</f>
        <v>0</v>
      </c>
      <c r="S20" s="262" t="s">
        <v>53</v>
      </c>
      <c r="T20" s="263"/>
      <c r="U20" s="56">
        <f>+IF(S20=AH23,0,AI24)</f>
        <v>3.12</v>
      </c>
      <c r="V20" s="48">
        <f>IF(S20=AH23,0,AI25)</f>
        <v>2.1082000000000001</v>
      </c>
      <c r="W20" s="32">
        <f>+R20+P20+J20+H20+F20+U20+V20</f>
        <v>19.543575939849624</v>
      </c>
      <c r="X20" s="31">
        <f>+Z20+AA20</f>
        <v>0</v>
      </c>
      <c r="AC20" s="67" t="s">
        <v>4</v>
      </c>
      <c r="AD20" s="67">
        <v>0.19700000000000001</v>
      </c>
      <c r="AE20" s="1" t="s">
        <v>127</v>
      </c>
      <c r="AF20" s="1" t="s">
        <v>3</v>
      </c>
      <c r="AK20" s="1" t="s">
        <v>56</v>
      </c>
      <c r="AL20" s="1">
        <f>1.59*5.9</f>
        <v>9.3810000000000002</v>
      </c>
      <c r="AM20" s="1">
        <f>1.37*5.9</f>
        <v>8.083000000000002</v>
      </c>
      <c r="AN20" s="1">
        <f>1.5*5.9</f>
        <v>8.8500000000000014</v>
      </c>
      <c r="AO20" s="1">
        <f>1.25*5.9</f>
        <v>7.375</v>
      </c>
    </row>
    <row r="21" spans="1:45" ht="15.65" thickTop="1" x14ac:dyDescent="0.3">
      <c r="B21" s="159"/>
      <c r="C21" s="160"/>
      <c r="D21" s="61"/>
      <c r="E21" s="160"/>
      <c r="F21" s="60"/>
      <c r="G21" s="61"/>
      <c r="H21" s="61"/>
      <c r="I21" s="161"/>
      <c r="J21" s="61"/>
      <c r="K21" s="61"/>
      <c r="L21" s="61"/>
      <c r="M21" s="161"/>
      <c r="N21" s="161"/>
      <c r="O21" s="61"/>
      <c r="P21" s="61"/>
      <c r="Q21" s="61"/>
      <c r="R21" s="61"/>
      <c r="S21" s="61"/>
      <c r="T21" s="62"/>
      <c r="U21" s="54"/>
      <c r="V21" s="17"/>
      <c r="X21" s="15"/>
      <c r="AC21" s="67" t="s">
        <v>192</v>
      </c>
      <c r="AD21" s="155">
        <v>0.15</v>
      </c>
      <c r="AE21" t="s">
        <v>193</v>
      </c>
      <c r="AK21" s="27" t="s">
        <v>159</v>
      </c>
      <c r="AL21" s="27">
        <v>180</v>
      </c>
      <c r="AM21" s="27">
        <v>208</v>
      </c>
      <c r="AN21" s="27">
        <v>188</v>
      </c>
      <c r="AO21" s="27">
        <v>221</v>
      </c>
      <c r="AP21" s="27"/>
      <c r="AQ21" s="27"/>
    </row>
    <row r="22" spans="1:45" ht="15.65" thickBot="1" x14ac:dyDescent="0.35">
      <c r="B22" s="162"/>
      <c r="C22" s="163"/>
      <c r="D22" s="50"/>
      <c r="E22" s="163"/>
      <c r="F22" s="49"/>
      <c r="G22" s="50"/>
      <c r="H22" s="50"/>
      <c r="I22" s="164"/>
      <c r="J22" s="50"/>
      <c r="K22" s="50"/>
      <c r="L22" s="50"/>
      <c r="M22" s="164"/>
      <c r="N22" s="164"/>
      <c r="O22" s="50"/>
      <c r="P22" s="50"/>
      <c r="Q22" s="50"/>
      <c r="R22" s="50"/>
      <c r="S22" s="50"/>
      <c r="T22" s="63"/>
      <c r="U22" s="57"/>
      <c r="V22" s="17"/>
      <c r="X22" s="15"/>
      <c r="AK22" s="27" t="s">
        <v>69</v>
      </c>
      <c r="AL22" s="27">
        <v>200</v>
      </c>
      <c r="AM22" s="27">
        <v>234</v>
      </c>
      <c r="AN22" s="27">
        <v>209</v>
      </c>
      <c r="AO22" s="27">
        <v>251</v>
      </c>
      <c r="AP22" s="27">
        <v>211</v>
      </c>
      <c r="AQ22" s="27">
        <v>253</v>
      </c>
      <c r="AR22" s="27"/>
      <c r="AS22" s="27"/>
    </row>
    <row r="23" spans="1:45" x14ac:dyDescent="0.3">
      <c r="B23" s="13"/>
      <c r="R23" s="15"/>
      <c r="S23" s="15"/>
      <c r="T23" s="15"/>
      <c r="V23" s="17"/>
      <c r="X23" s="15"/>
      <c r="AC23" s="3"/>
      <c r="AD23" s="3"/>
      <c r="AE23" s="3"/>
      <c r="AH23" s="1" t="s">
        <v>5</v>
      </c>
      <c r="AK23" s="27" t="s">
        <v>70</v>
      </c>
      <c r="AL23" s="27">
        <v>259</v>
      </c>
      <c r="AM23" s="27">
        <v>302</v>
      </c>
      <c r="AN23" s="27">
        <v>271</v>
      </c>
      <c r="AO23" s="27">
        <v>322</v>
      </c>
      <c r="AP23" s="27">
        <v>273</v>
      </c>
      <c r="AQ23" s="27">
        <v>324</v>
      </c>
    </row>
    <row r="24" spans="1:45" ht="18.2" x14ac:dyDescent="0.3">
      <c r="B24" s="285" t="s">
        <v>79</v>
      </c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V24" s="17"/>
      <c r="X24" s="15"/>
      <c r="AH24" s="3" t="s">
        <v>53</v>
      </c>
      <c r="AI24" s="3">
        <v>3.12</v>
      </c>
      <c r="AK24" s="1" t="s">
        <v>160</v>
      </c>
      <c r="AL24" s="1">
        <f>+AL21+($AR$14*2400)</f>
        <v>180</v>
      </c>
      <c r="AM24" s="1">
        <f t="shared" ref="AM24:AO24" si="0">+AM21+($AR$14*2400)</f>
        <v>208</v>
      </c>
      <c r="AN24" s="1">
        <f t="shared" si="0"/>
        <v>188</v>
      </c>
      <c r="AO24" s="1">
        <f t="shared" si="0"/>
        <v>221</v>
      </c>
      <c r="AS24" s="1">
        <f>+IF(B20=AC31,IF(C20=AH31,AL24,AM24),IF(C20=AH31,AN24,AO24))</f>
        <v>188</v>
      </c>
    </row>
    <row r="25" spans="1:45" x14ac:dyDescent="0.3">
      <c r="B25" s="18"/>
      <c r="C25" s="13"/>
      <c r="E25" s="13"/>
      <c r="F25" s="14"/>
      <c r="G25" s="11"/>
      <c r="H25" s="15"/>
      <c r="I25" s="16"/>
      <c r="J25" s="15"/>
      <c r="K25" s="11"/>
      <c r="L25" s="11"/>
      <c r="M25" s="16"/>
      <c r="N25" s="16"/>
      <c r="O25" s="15"/>
      <c r="P25" s="15"/>
      <c r="Q25" s="11"/>
      <c r="R25" s="15"/>
      <c r="S25" s="15"/>
      <c r="T25" s="15"/>
      <c r="V25" s="17"/>
      <c r="X25" s="15"/>
      <c r="AH25" s="3" t="s">
        <v>64</v>
      </c>
      <c r="AI25" s="3">
        <f>1.66*1.27</f>
        <v>2.1082000000000001</v>
      </c>
      <c r="AK25" s="1" t="s">
        <v>58</v>
      </c>
      <c r="AL25" s="1">
        <f>+AL22+($AR$15*2400)</f>
        <v>200</v>
      </c>
      <c r="AM25" s="1">
        <f>+AM22+($AR$15*2400)</f>
        <v>234</v>
      </c>
      <c r="AN25" s="1">
        <f>+AN22+($AR$15*2400)</f>
        <v>209</v>
      </c>
      <c r="AO25" s="1">
        <f>+AO22+($AR$15*2400)</f>
        <v>251</v>
      </c>
      <c r="AS25" s="1">
        <f>+IF(B20=AC31,IF(C20=AH31,AL25,AM25),IF(C20=AH31,AN25,AO25))</f>
        <v>209</v>
      </c>
    </row>
    <row r="26" spans="1:45" x14ac:dyDescent="0.3">
      <c r="B26" s="13"/>
      <c r="C26" s="13"/>
      <c r="E26" s="13"/>
      <c r="F26" s="14"/>
      <c r="G26" s="11"/>
      <c r="H26" s="15"/>
      <c r="I26" s="16"/>
      <c r="J26" s="15"/>
      <c r="K26" s="11"/>
      <c r="L26" s="11"/>
      <c r="M26" s="16"/>
      <c r="N26" s="16"/>
      <c r="O26" s="15"/>
      <c r="P26" s="15"/>
      <c r="Q26" s="11"/>
      <c r="R26" s="15"/>
      <c r="S26" s="15"/>
      <c r="T26" s="15"/>
      <c r="V26" s="17"/>
      <c r="X26" s="15"/>
      <c r="AH26" s="3"/>
      <c r="AI26" s="3"/>
      <c r="AK26" s="1" t="s">
        <v>57</v>
      </c>
      <c r="AL26" s="1">
        <f>+AL23+($AR$16*2400)</f>
        <v>259</v>
      </c>
      <c r="AM26" s="1">
        <f>+AM23+($AR$16*2400)</f>
        <v>302</v>
      </c>
      <c r="AN26" s="1">
        <f>+AN23+($AR$16*2400)</f>
        <v>271</v>
      </c>
      <c r="AO26" s="1">
        <f>+AO23+($AR$16*2400)</f>
        <v>322</v>
      </c>
      <c r="AS26" s="1">
        <f>+IF(B20=AC31,IF(C20=AH31,AL26,AM26),IF(C20=AH31,AN26,AO26))+AR26</f>
        <v>271</v>
      </c>
    </row>
    <row r="27" spans="1:45" ht="15.65" thickBot="1" x14ac:dyDescent="0.35">
      <c r="B27" s="13"/>
      <c r="C27" s="13"/>
      <c r="E27" s="13"/>
      <c r="F27" s="14"/>
      <c r="G27" s="11"/>
      <c r="H27" s="15"/>
      <c r="I27" s="16"/>
      <c r="J27" s="15"/>
      <c r="K27" s="11"/>
      <c r="L27" s="11"/>
      <c r="M27" s="16"/>
      <c r="N27" s="16"/>
      <c r="O27" s="15"/>
      <c r="P27" s="15"/>
      <c r="Q27" s="11"/>
      <c r="R27" s="15"/>
      <c r="S27" s="15"/>
      <c r="T27" s="15"/>
      <c r="V27" s="17"/>
      <c r="X27" s="15"/>
      <c r="AH27" s="6"/>
    </row>
    <row r="28" spans="1:45" ht="16.899999999999999" thickTop="1" thickBot="1" x14ac:dyDescent="0.35">
      <c r="B28" s="289">
        <f>+F20</f>
        <v>6.1503759398496234</v>
      </c>
      <c r="C28" s="290"/>
      <c r="E28" s="13"/>
      <c r="F28" s="14"/>
      <c r="G28" s="20">
        <f>+H20</f>
        <v>-7.66</v>
      </c>
      <c r="H28" s="15"/>
      <c r="I28" s="33">
        <f>+J20</f>
        <v>1.444</v>
      </c>
      <c r="J28" s="15"/>
      <c r="K28" s="291">
        <f>+P20</f>
        <v>14.381</v>
      </c>
      <c r="L28" s="292"/>
      <c r="M28" s="16"/>
      <c r="N28" s="16"/>
      <c r="O28" s="15"/>
      <c r="P28" s="293">
        <f>+R20</f>
        <v>0</v>
      </c>
      <c r="Q28" s="294"/>
      <c r="R28" s="15"/>
      <c r="S28" s="295">
        <f>+U20+V20</f>
        <v>5.2282000000000002</v>
      </c>
      <c r="T28" s="296"/>
      <c r="V28" s="17"/>
      <c r="X28" s="15"/>
      <c r="AH28" s="6"/>
      <c r="AK28" s="1" t="s">
        <v>155</v>
      </c>
      <c r="AL28" s="12">
        <f>+IF($G$20=$AC$36,1/0.63*$AE$36,IF($G$20=$AC$37,1/0.63*$AE$37,1/0.63*$AE$38))</f>
        <v>7.3650793650793638</v>
      </c>
      <c r="AM28" s="12">
        <f>+IF($G$20=$AC$36,1/0.73*$AE$36,IF($G$20=$AC$37,1/0.73*$AE$37,1/0.73*$AE$38))</f>
        <v>6.3561643835616435</v>
      </c>
      <c r="AN28" s="12">
        <f>+IF($G$20=$AC$36,1/0.665*$AE$36,IF($G$20=$AC$37,1/0.665*$AE$37,1/0.665*$AE$38))</f>
        <v>6.9774436090225551</v>
      </c>
      <c r="AO28" s="12">
        <f>+IF($G$20=$AC$36,1/0.8*$AE$36,IF($G$20=$AC$37,1/0.8*$AE$37,1/0.8*$AE$38))</f>
        <v>5.8</v>
      </c>
    </row>
    <row r="29" spans="1:45" ht="15.65" thickTop="1" x14ac:dyDescent="0.3">
      <c r="B29" s="15"/>
      <c r="C29" s="166"/>
      <c r="E29" s="13"/>
      <c r="F29" s="14"/>
      <c r="G29" s="15"/>
      <c r="H29" s="15"/>
      <c r="I29" s="165"/>
      <c r="J29" s="15"/>
      <c r="K29" s="15"/>
      <c r="L29" s="15"/>
      <c r="M29" s="165"/>
      <c r="N29" s="165"/>
      <c r="O29" s="15"/>
      <c r="P29" s="15"/>
      <c r="Q29" s="15"/>
      <c r="R29" s="15"/>
      <c r="S29" s="15"/>
      <c r="T29" s="15"/>
      <c r="V29" s="17"/>
      <c r="X29" s="15"/>
      <c r="AC29" s="1" t="s">
        <v>6</v>
      </c>
    </row>
    <row r="30" spans="1:45" x14ac:dyDescent="0.3">
      <c r="B30" s="15"/>
      <c r="C30" s="166"/>
      <c r="E30" s="13"/>
      <c r="F30" s="14"/>
      <c r="G30" s="15"/>
      <c r="H30" s="15"/>
      <c r="I30" s="165"/>
      <c r="J30" s="15"/>
      <c r="K30" s="15"/>
      <c r="L30" s="15"/>
      <c r="M30" s="165"/>
      <c r="N30" s="165"/>
      <c r="O30" s="15"/>
      <c r="P30" s="15"/>
      <c r="Q30" s="15"/>
      <c r="R30" s="15"/>
      <c r="S30" s="15"/>
      <c r="T30" s="15"/>
      <c r="V30" s="17"/>
      <c r="X30" s="15"/>
    </row>
    <row r="31" spans="1:45" ht="15.65" x14ac:dyDescent="0.3">
      <c r="C31" s="219" t="s">
        <v>221</v>
      </c>
      <c r="D31" s="220"/>
      <c r="E31" s="220"/>
      <c r="F31" s="220"/>
      <c r="G31" s="220"/>
      <c r="H31" s="220"/>
      <c r="I31" s="221"/>
      <c r="J31" s="15"/>
      <c r="K31" s="15" t="s">
        <v>80</v>
      </c>
      <c r="L31" s="15"/>
      <c r="M31" s="165"/>
      <c r="N31" s="165"/>
      <c r="O31" s="15"/>
      <c r="P31" s="15"/>
      <c r="Q31" s="15"/>
      <c r="R31" s="15"/>
      <c r="S31" s="175">
        <f>+N20</f>
        <v>209</v>
      </c>
      <c r="T31" s="15"/>
      <c r="V31" s="17"/>
      <c r="X31" s="15"/>
      <c r="AC31" s="3" t="s">
        <v>65</v>
      </c>
      <c r="AD31" s="3">
        <v>2.92</v>
      </c>
      <c r="AE31" s="3" t="s">
        <v>8</v>
      </c>
      <c r="AF31" s="1">
        <v>4.09</v>
      </c>
      <c r="AH31" s="3" t="s">
        <v>44</v>
      </c>
    </row>
    <row r="32" spans="1:45" ht="15.65" x14ac:dyDescent="0.3">
      <c r="C32" s="286" t="str">
        <f>"plancher"&amp;" "&amp;+VLOOKUP(G20,AC36:AF38,4,FALSE)&amp;" "&amp;"+"&amp;" "&amp;L20 &amp;"   EBS"&amp;"  "&amp;B20</f>
        <v>plancher 15 + 5   EBS  GF 137,GF 158</v>
      </c>
      <c r="D32" s="287"/>
      <c r="E32" s="287"/>
      <c r="F32" s="287"/>
      <c r="G32" s="287"/>
      <c r="H32" s="287"/>
      <c r="I32" s="288"/>
      <c r="J32" s="15"/>
      <c r="K32" s="15" t="s">
        <v>222</v>
      </c>
      <c r="L32" s="15"/>
      <c r="M32" s="165"/>
      <c r="N32" s="165"/>
      <c r="O32" s="15"/>
      <c r="P32" s="15"/>
      <c r="Q32" s="15"/>
      <c r="R32" s="15"/>
      <c r="S32" s="177">
        <f>+M20</f>
        <v>73</v>
      </c>
      <c r="T32" s="15"/>
      <c r="V32" s="17"/>
      <c r="X32" s="15"/>
      <c r="AC32" s="3" t="s">
        <v>66</v>
      </c>
      <c r="AD32" s="3">
        <v>4.09</v>
      </c>
      <c r="AE32" s="3" t="s">
        <v>8</v>
      </c>
      <c r="AF32" s="1">
        <v>2.92</v>
      </c>
      <c r="AH32" s="3" t="s">
        <v>45</v>
      </c>
    </row>
    <row r="33" spans="2:37" ht="15.65" thickBot="1" x14ac:dyDescent="0.35">
      <c r="C33" s="13"/>
      <c r="E33" s="13"/>
      <c r="F33" s="14"/>
      <c r="G33" s="11"/>
      <c r="H33" s="15"/>
      <c r="I33" s="16"/>
      <c r="J33" s="15"/>
      <c r="K33" s="11"/>
      <c r="L33" s="11"/>
      <c r="M33" s="16"/>
      <c r="N33" s="16"/>
      <c r="O33" s="15"/>
      <c r="P33" s="15"/>
      <c r="Q33" s="11"/>
      <c r="R33" s="15"/>
      <c r="S33" s="15"/>
      <c r="T33" s="15"/>
      <c r="V33" s="17"/>
      <c r="X33" s="15"/>
      <c r="AC33" s="3" t="s">
        <v>10</v>
      </c>
      <c r="AD33" s="3">
        <v>5.32</v>
      </c>
      <c r="AE33" s="3" t="s">
        <v>8</v>
      </c>
      <c r="AF33" s="1">
        <v>5.32</v>
      </c>
      <c r="AH33" s="3"/>
    </row>
    <row r="34" spans="2:37" ht="15.65" thickTop="1" x14ac:dyDescent="0.3">
      <c r="C34" s="13"/>
      <c r="E34" s="13"/>
      <c r="F34" s="14"/>
      <c r="G34" s="11"/>
      <c r="H34" s="15"/>
      <c r="I34" s="16"/>
      <c r="J34" s="15"/>
      <c r="K34" s="264">
        <f>+B28+G28+I28+K28+P28+S28</f>
        <v>19.543575939849624</v>
      </c>
      <c r="L34" s="265"/>
      <c r="M34" s="16"/>
      <c r="N34" s="16"/>
      <c r="O34" s="15"/>
      <c r="P34" s="15"/>
      <c r="Q34" s="257" t="s">
        <v>82</v>
      </c>
      <c r="R34" s="15"/>
      <c r="S34" s="15"/>
      <c r="T34" s="15"/>
      <c r="V34" s="17"/>
      <c r="X34" s="15"/>
      <c r="AC34" s="3"/>
    </row>
    <row r="35" spans="2:37" ht="15.65" thickBot="1" x14ac:dyDescent="0.35">
      <c r="K35" s="266"/>
      <c r="L35" s="267"/>
      <c r="Q35" s="257"/>
      <c r="AD35" s="1" t="s">
        <v>12</v>
      </c>
      <c r="AE35" s="6" t="s">
        <v>154</v>
      </c>
    </row>
    <row r="36" spans="2:37" ht="16.3" thickTop="1" thickBot="1" x14ac:dyDescent="0.35">
      <c r="C36" s="10"/>
      <c r="Q36" s="11"/>
      <c r="AC36" s="1" t="s">
        <v>105</v>
      </c>
      <c r="AD36" s="1">
        <v>-7.66</v>
      </c>
      <c r="AE36" s="7">
        <f>5.7/1.25</f>
        <v>4.5600000000000005</v>
      </c>
      <c r="AF36" s="1">
        <v>12</v>
      </c>
      <c r="AH36" s="1" t="s">
        <v>13</v>
      </c>
    </row>
    <row r="37" spans="2:37" ht="15.65" thickBot="1" x14ac:dyDescent="0.35">
      <c r="G37" s="134" t="s">
        <v>157</v>
      </c>
      <c r="L37" s="133">
        <f>+IF(B20=AC31,IF(C20=AH31,AL28,AM28),IF(B20=AC32,IF(C20=AH31,AN28,AO28)))</f>
        <v>6.9774436090225551</v>
      </c>
      <c r="Q37" s="1" t="s">
        <v>156</v>
      </c>
      <c r="AC37" s="1" t="s">
        <v>60</v>
      </c>
      <c r="AD37" s="1">
        <v>-7.66</v>
      </c>
      <c r="AE37" s="4">
        <f>5.8/1.25</f>
        <v>4.6399999999999997</v>
      </c>
      <c r="AF37" s="1">
        <v>15</v>
      </c>
      <c r="AH37" s="3" t="s">
        <v>16</v>
      </c>
      <c r="AI37" s="3">
        <v>1.23</v>
      </c>
      <c r="AK37" s="3" t="s">
        <v>9</v>
      </c>
    </row>
    <row r="38" spans="2:37" x14ac:dyDescent="0.3">
      <c r="AC38" s="1" t="s">
        <v>61</v>
      </c>
      <c r="AD38" s="1">
        <v>-7.66</v>
      </c>
      <c r="AE38" s="4">
        <f>7.25/1.25</f>
        <v>5.8</v>
      </c>
      <c r="AF38" s="1">
        <v>20</v>
      </c>
      <c r="AH38" s="3"/>
      <c r="AI38" s="3"/>
      <c r="AK38" s="3" t="s">
        <v>7</v>
      </c>
    </row>
    <row r="39" spans="2:37" x14ac:dyDescent="0.3">
      <c r="AE39" s="12"/>
      <c r="AH39" s="3" t="s">
        <v>19</v>
      </c>
      <c r="AI39" s="3">
        <v>3.68</v>
      </c>
    </row>
    <row r="40" spans="2:37" ht="15.65" x14ac:dyDescent="0.3">
      <c r="B40" s="30" t="s">
        <v>223</v>
      </c>
      <c r="E40" s="12"/>
      <c r="L40" s="185" t="s">
        <v>175</v>
      </c>
      <c r="AE40" s="12"/>
    </row>
    <row r="41" spans="2:37" x14ac:dyDescent="0.3">
      <c r="B41" s="28" t="str">
        <f>+IF(B20=AC31,AK45,AK46)</f>
        <v>FDES_Poutrelle_BP H 12_15 cm_03.2020 n°1-73:2020</v>
      </c>
      <c r="E41" s="12"/>
      <c r="AE41" s="12"/>
    </row>
    <row r="42" spans="2:37" x14ac:dyDescent="0.3">
      <c r="B42" s="28" t="str">
        <f>AK48</f>
        <v>FDES_Engelvin bois moulé n°1-33 : 2020</v>
      </c>
      <c r="E42" s="12"/>
      <c r="AE42" s="12"/>
      <c r="AH42" s="1">
        <v>5</v>
      </c>
    </row>
    <row r="43" spans="2:37" x14ac:dyDescent="0.3">
      <c r="B43" s="28" t="str">
        <f>AK49</f>
        <v>APA_FDES__Armatures catalogue_2023_06_v1.3</v>
      </c>
      <c r="E43" s="12"/>
      <c r="AC43" s="1" t="s">
        <v>155</v>
      </c>
      <c r="AE43" s="12"/>
      <c r="AH43" s="1">
        <v>6</v>
      </c>
    </row>
    <row r="44" spans="2:37" x14ac:dyDescent="0.3">
      <c r="B44" s="28" t="str">
        <f>+VLOOKUP(K20,AC20:AE21,3,FALSE)</f>
        <v>Beton_(hors armature) pour dalle C25 30 XC1 XC2 CEMII A_07_2019</v>
      </c>
      <c r="E44" s="12"/>
      <c r="AE44" s="12"/>
      <c r="AH44" s="1">
        <v>7</v>
      </c>
    </row>
    <row r="45" spans="2:37" x14ac:dyDescent="0.3">
      <c r="B45" s="28" t="str">
        <f>IF(Q20=AH14,"",IF(Q20=AH15,AK51,AK52))</f>
        <v/>
      </c>
      <c r="E45" s="12"/>
      <c r="AE45" s="12"/>
      <c r="AH45" s="1">
        <v>8</v>
      </c>
      <c r="AK45" s="1" t="s">
        <v>72</v>
      </c>
    </row>
    <row r="46" spans="2:37" x14ac:dyDescent="0.3">
      <c r="B46" s="29" t="str">
        <f>IF(S20=AH24,AK54,"")</f>
        <v>FDES_KNAUF_KF-BA-13_2023-07-12</v>
      </c>
      <c r="E46" s="12"/>
      <c r="AE46" s="12"/>
      <c r="AH46" s="1">
        <v>9</v>
      </c>
      <c r="AK46" s="1" t="s">
        <v>73</v>
      </c>
    </row>
    <row r="47" spans="2:37" x14ac:dyDescent="0.3">
      <c r="B47" s="28" t="str">
        <f>+IF(S20=AH24,AK53,"")</f>
        <v>EVEA_pour GIOFS_FDES Ossatures pour plafonds - fourrures_ cornieres et lisses 03-2021</v>
      </c>
      <c r="AH47" s="1">
        <v>10</v>
      </c>
    </row>
    <row r="48" spans="2:37" x14ac:dyDescent="0.3">
      <c r="E48" s="12"/>
      <c r="AK48" s="1" t="s">
        <v>74</v>
      </c>
    </row>
    <row r="49" spans="5:37" x14ac:dyDescent="0.3">
      <c r="E49" s="12"/>
      <c r="AE49" s="12"/>
      <c r="AK49" s="1" t="s">
        <v>75</v>
      </c>
    </row>
    <row r="50" spans="5:37" x14ac:dyDescent="0.3">
      <c r="E50" s="12"/>
      <c r="AE50" s="12"/>
      <c r="AK50" s="1" t="s">
        <v>127</v>
      </c>
    </row>
    <row r="51" spans="5:37" x14ac:dyDescent="0.3">
      <c r="E51" s="12"/>
      <c r="AE51" s="12"/>
      <c r="AK51" s="1" t="s">
        <v>77</v>
      </c>
    </row>
    <row r="52" spans="5:37" x14ac:dyDescent="0.3">
      <c r="E52" s="12"/>
      <c r="AE52" s="12"/>
      <c r="AK52" s="1" t="s">
        <v>76</v>
      </c>
    </row>
    <row r="53" spans="5:37" x14ac:dyDescent="0.3">
      <c r="E53" s="12"/>
      <c r="AE53" s="12"/>
      <c r="AK53" s="1" t="s">
        <v>126</v>
      </c>
    </row>
    <row r="54" spans="5:37" x14ac:dyDescent="0.3">
      <c r="E54" s="12"/>
      <c r="AE54" s="12"/>
      <c r="AK54" s="1" t="s">
        <v>78</v>
      </c>
    </row>
    <row r="55" spans="5:37" x14ac:dyDescent="0.3">
      <c r="AE55" s="12"/>
    </row>
    <row r="56" spans="5:37" x14ac:dyDescent="0.3">
      <c r="AE56" s="12"/>
    </row>
    <row r="57" spans="5:37" x14ac:dyDescent="0.3">
      <c r="AE57" s="12"/>
    </row>
  </sheetData>
  <sheetProtection algorithmName="SHA-512" hashValue="LCBhVzGQinKi+rR5e2dbtsZMIIV6aEyJOzZE61GQYtQvesZR9cwal65Gaj/+w4c71LI+Ipokq++pl+8gfAt1fQ==" saltValue="X+Q6xek6gALmoNFUF1epqw==" spinCount="100000" sheet="1" objects="1" scenarios="1"/>
  <mergeCells count="35">
    <mergeCell ref="C6:S6"/>
    <mergeCell ref="F14:G14"/>
    <mergeCell ref="B17:F17"/>
    <mergeCell ref="G17:H17"/>
    <mergeCell ref="I17:J17"/>
    <mergeCell ref="K17:P17"/>
    <mergeCell ref="W17:W18"/>
    <mergeCell ref="X17:X18"/>
    <mergeCell ref="B18:B19"/>
    <mergeCell ref="C18:C19"/>
    <mergeCell ref="E18:E19"/>
    <mergeCell ref="F18:F19"/>
    <mergeCell ref="G18:G19"/>
    <mergeCell ref="H18:H19"/>
    <mergeCell ref="I18:I19"/>
    <mergeCell ref="J18:J19"/>
    <mergeCell ref="Q17:T17"/>
    <mergeCell ref="S18:S19"/>
    <mergeCell ref="K18:K19"/>
    <mergeCell ref="L18:L19"/>
    <mergeCell ref="M18:M19"/>
    <mergeCell ref="O18:O19"/>
    <mergeCell ref="K34:L35"/>
    <mergeCell ref="Q34:Q35"/>
    <mergeCell ref="R18:R19"/>
    <mergeCell ref="P18:P19"/>
    <mergeCell ref="Q18:Q19"/>
    <mergeCell ref="B24:T24"/>
    <mergeCell ref="C31:I31"/>
    <mergeCell ref="C32:I32"/>
    <mergeCell ref="S20:T20"/>
    <mergeCell ref="B28:C28"/>
    <mergeCell ref="K28:L28"/>
    <mergeCell ref="P28:Q28"/>
    <mergeCell ref="S28:T28"/>
  </mergeCells>
  <phoneticPr fontId="6" type="noConversion"/>
  <conditionalFormatting sqref="P28:T28">
    <cfRule type="cellIs" dxfId="0" priority="1" operator="equal">
      <formula>0</formula>
    </cfRule>
  </conditionalFormatting>
  <dataValidations count="7">
    <dataValidation type="list" allowBlank="1" showInputMessage="1" showErrorMessage="1" sqref="S20" xr:uid="{501F5AB8-8275-432E-9A4F-2EF25669E1F6}">
      <formula1>$AH$23:$AH$24</formula1>
    </dataValidation>
    <dataValidation type="list" allowBlank="1" showInputMessage="1" showErrorMessage="1" sqref="L20" xr:uid="{A8A63633-CE93-463A-B237-6451AE4BD1FF}">
      <formula1>$AH$42:$AH$47</formula1>
    </dataValidation>
    <dataValidation type="list" allowBlank="1" showInputMessage="1" showErrorMessage="1" sqref="G20" xr:uid="{0143454A-8476-4BEA-A203-C4FFA22C7A6A}">
      <formula1>$AC$36:$AC$38</formula1>
    </dataValidation>
    <dataValidation type="list" allowBlank="1" showInputMessage="1" showErrorMessage="1" sqref="B20" xr:uid="{8749378F-0556-458A-AC01-EF7509A83987}">
      <formula1>$AC$31:$AC$32</formula1>
    </dataValidation>
    <dataValidation type="list" allowBlank="1" showInputMessage="1" showErrorMessage="1" sqref="C20" xr:uid="{F6DF1724-3EA8-4842-ABE9-D30A0A231CE8}">
      <formula1>$AH$31:$AH$32</formula1>
    </dataValidation>
    <dataValidation type="list" allowBlank="1" showInputMessage="1" showErrorMessage="1" sqref="K20" xr:uid="{91774373-5866-4137-AB53-BBF2707B7CE9}">
      <formula1>$AC$20:$AC$21</formula1>
    </dataValidation>
    <dataValidation type="list" allowBlank="1" showInputMessage="1" showErrorMessage="1" sqref="Q20" xr:uid="{51E8B667-8016-4699-9D96-7DEB79FFFE3F}">
      <formula1>$AH$14:$AH$16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DAD2-A86B-4985-9AB4-28AE3EC1C005}">
  <sheetPr codeName="Feuil5"/>
  <dimension ref="C4:H28"/>
  <sheetViews>
    <sheetView showGridLines="0" showRowColHeaders="0" zoomScale="80" zoomScaleNormal="80" workbookViewId="0"/>
  </sheetViews>
  <sheetFormatPr baseColWidth="10" defaultRowHeight="15.05" x14ac:dyDescent="0.3"/>
  <cols>
    <col min="7" max="7" width="10.44140625" customWidth="1"/>
    <col min="8" max="8" width="25.6640625" customWidth="1"/>
  </cols>
  <sheetData>
    <row r="4" spans="4:4" ht="18.2" x14ac:dyDescent="0.35">
      <c r="D4" s="149" t="s">
        <v>166</v>
      </c>
    </row>
    <row r="20" spans="3:8" ht="25.05" customHeight="1" x14ac:dyDescent="0.35">
      <c r="C20" s="150" t="s">
        <v>171</v>
      </c>
    </row>
    <row r="21" spans="3:8" ht="25.05" customHeight="1" x14ac:dyDescent="0.35">
      <c r="C21" s="150"/>
      <c r="D21" s="150" t="s">
        <v>172</v>
      </c>
    </row>
    <row r="22" spans="3:8" ht="25.05" customHeight="1" x14ac:dyDescent="0.35">
      <c r="C22" s="150" t="s">
        <v>161</v>
      </c>
    </row>
    <row r="23" spans="3:8" ht="25.05" customHeight="1" x14ac:dyDescent="0.35">
      <c r="C23" s="150" t="s">
        <v>162</v>
      </c>
    </row>
    <row r="24" spans="3:8" ht="25.05" customHeight="1" x14ac:dyDescent="0.35">
      <c r="C24" s="150" t="s">
        <v>163</v>
      </c>
    </row>
    <row r="25" spans="3:8" ht="25.05" customHeight="1" x14ac:dyDescent="0.35">
      <c r="C25" s="150" t="s">
        <v>164</v>
      </c>
    </row>
    <row r="26" spans="3:8" ht="25.05" customHeight="1" x14ac:dyDescent="0.35">
      <c r="C26" s="150" t="s">
        <v>165</v>
      </c>
    </row>
    <row r="27" spans="3:8" ht="25.05" customHeight="1" x14ac:dyDescent="0.35">
      <c r="C27" s="150" t="s">
        <v>167</v>
      </c>
    </row>
    <row r="28" spans="3:8" ht="25.05" customHeight="1" x14ac:dyDescent="0.35">
      <c r="C28" s="150"/>
      <c r="H28" s="151"/>
    </row>
  </sheetData>
  <sheetProtection algorithmName="SHA-512" hashValue="ZrNXv366yGLf33ixRhMK84ysHVCO71uoOMtqWvG8bmHUoRWG/K/qEPENkZx+ql9127jOhAhzbp6lIHKYvRwlFg==" saltValue="hMg3tBLEkZ+ILZTe32VG+g==" spinCount="100000" sheet="1" objects="1" scenarios="1"/>
  <pageMargins left="0.7" right="0.7" top="0.75" bottom="0.75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4875-91C5-45A5-BF62-A11A758F7098}">
  <sheetPr codeName="Feuil6"/>
  <dimension ref="C4:H30"/>
  <sheetViews>
    <sheetView showGridLines="0" showRowColHeaders="0" zoomScale="80" zoomScaleNormal="80" workbookViewId="0"/>
  </sheetViews>
  <sheetFormatPr baseColWidth="10" defaultRowHeight="15.05" x14ac:dyDescent="0.3"/>
  <cols>
    <col min="8" max="8" width="26.109375" customWidth="1"/>
  </cols>
  <sheetData>
    <row r="4" spans="4:4" ht="18.2" x14ac:dyDescent="0.35">
      <c r="D4" s="149" t="s">
        <v>166</v>
      </c>
    </row>
    <row r="20" spans="3:8" ht="25.05" customHeight="1" x14ac:dyDescent="0.35">
      <c r="C20" s="150" t="s">
        <v>171</v>
      </c>
    </row>
    <row r="21" spans="3:8" ht="25.05" customHeight="1" x14ac:dyDescent="0.35">
      <c r="C21" s="150" t="s">
        <v>201</v>
      </c>
    </row>
    <row r="22" spans="3:8" ht="13.95" customHeight="1" x14ac:dyDescent="0.35">
      <c r="E22" s="150" t="s">
        <v>194</v>
      </c>
    </row>
    <row r="23" spans="3:8" ht="25.05" customHeight="1" x14ac:dyDescent="0.35">
      <c r="C23" s="150" t="s">
        <v>161</v>
      </c>
    </row>
    <row r="24" spans="3:8" ht="25.05" customHeight="1" x14ac:dyDescent="0.35">
      <c r="C24" s="150" t="s">
        <v>173</v>
      </c>
    </row>
    <row r="25" spans="3:8" ht="25.05" customHeight="1" x14ac:dyDescent="0.35">
      <c r="C25" s="150" t="s">
        <v>174</v>
      </c>
    </row>
    <row r="26" spans="3:8" ht="25.05" customHeight="1" x14ac:dyDescent="0.35">
      <c r="C26" s="150" t="s">
        <v>164</v>
      </c>
    </row>
    <row r="27" spans="3:8" ht="25.05" customHeight="1" x14ac:dyDescent="0.35">
      <c r="C27" s="150" t="s">
        <v>165</v>
      </c>
    </row>
    <row r="28" spans="3:8" ht="25.05" customHeight="1" x14ac:dyDescent="0.35">
      <c r="C28" s="150" t="s">
        <v>167</v>
      </c>
    </row>
    <row r="30" spans="3:8" ht="16.3" x14ac:dyDescent="0.35">
      <c r="C30" s="150"/>
      <c r="H30" s="157"/>
    </row>
  </sheetData>
  <sheetProtection algorithmName="SHA-512" hashValue="ITpalKf48/PBu6OCajfgiDBJq1UbTj4o6/t83+s+8JU49jpZxGZYsQhdSZC1RdCuBvRIA2see/SgDSyAKDBldg==" saltValue="kf6VYwpQumuoI5OhdejiiQ==" spinCount="100000" sheet="1" objects="1" scenarios="1"/>
  <pageMargins left="0.7" right="0.7" top="0.75" bottom="0.75" header="0.3" footer="0.3"/>
  <pageSetup paperSize="9"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DAA39-CD3E-4745-A002-4923B4DBD2D5}">
  <sheetPr codeName="Feuil7"/>
  <dimension ref="B6:R36"/>
  <sheetViews>
    <sheetView showGridLines="0" zoomScale="90" zoomScaleNormal="90" workbookViewId="0">
      <selection activeCell="C2" sqref="C2"/>
    </sheetView>
  </sheetViews>
  <sheetFormatPr baseColWidth="10" defaultRowHeight="15.05" x14ac:dyDescent="0.3"/>
  <cols>
    <col min="6" max="6" width="4" customWidth="1"/>
    <col min="7" max="7" width="10.77734375" customWidth="1"/>
    <col min="10" max="10" width="21.5546875" customWidth="1"/>
    <col min="16" max="16" width="4.88671875" customWidth="1"/>
    <col min="17" max="17" width="11.88671875" customWidth="1"/>
  </cols>
  <sheetData>
    <row r="6" spans="4:18" ht="23.8" x14ac:dyDescent="0.45">
      <c r="D6" s="153" t="s">
        <v>195</v>
      </c>
      <c r="L6" s="153" t="s">
        <v>196</v>
      </c>
    </row>
    <row r="9" spans="4:18" ht="17.55" x14ac:dyDescent="0.3">
      <c r="D9" s="154" t="s">
        <v>185</v>
      </c>
      <c r="M9" s="154" t="s">
        <v>187</v>
      </c>
    </row>
    <row r="15" spans="4:18" x14ac:dyDescent="0.3">
      <c r="R15" s="156" t="s">
        <v>198</v>
      </c>
    </row>
    <row r="16" spans="4:18" x14ac:dyDescent="0.3">
      <c r="H16" s="156" t="s">
        <v>198</v>
      </c>
      <c r="R16" s="156"/>
    </row>
    <row r="26" spans="2:13" ht="25.05" customHeight="1" x14ac:dyDescent="0.35">
      <c r="B26" s="152" t="s">
        <v>176</v>
      </c>
      <c r="L26" s="152" t="s">
        <v>176</v>
      </c>
    </row>
    <row r="27" spans="2:13" ht="13.95" customHeight="1" x14ac:dyDescent="0.35">
      <c r="B27" s="150" t="s">
        <v>197</v>
      </c>
      <c r="L27" s="150" t="s">
        <v>197</v>
      </c>
    </row>
    <row r="28" spans="2:13" ht="13.95" customHeight="1" x14ac:dyDescent="0.35">
      <c r="B28" s="150"/>
      <c r="C28" s="150" t="s">
        <v>194</v>
      </c>
      <c r="L28" s="150"/>
      <c r="M28" s="150" t="s">
        <v>194</v>
      </c>
    </row>
    <row r="29" spans="2:13" ht="25.05" customHeight="1" x14ac:dyDescent="0.35">
      <c r="B29" s="152" t="s">
        <v>177</v>
      </c>
      <c r="L29" s="152" t="s">
        <v>177</v>
      </c>
    </row>
    <row r="30" spans="2:13" ht="25.05" customHeight="1" x14ac:dyDescent="0.35">
      <c r="B30" s="152" t="s">
        <v>178</v>
      </c>
      <c r="L30" s="152" t="s">
        <v>178</v>
      </c>
    </row>
    <row r="31" spans="2:13" ht="17.55" customHeight="1" x14ac:dyDescent="0.35">
      <c r="B31" s="152" t="s">
        <v>179</v>
      </c>
      <c r="L31" s="152" t="s">
        <v>179</v>
      </c>
    </row>
    <row r="32" spans="2:13" ht="25.05" customHeight="1" x14ac:dyDescent="0.35">
      <c r="B32" s="152" t="s">
        <v>181</v>
      </c>
      <c r="L32" s="152" t="s">
        <v>181</v>
      </c>
    </row>
    <row r="33" spans="2:18" ht="13.95" customHeight="1" x14ac:dyDescent="0.35">
      <c r="B33" s="152" t="s">
        <v>182</v>
      </c>
      <c r="L33" s="152" t="s">
        <v>182</v>
      </c>
    </row>
    <row r="34" spans="2:18" ht="13.95" customHeight="1" x14ac:dyDescent="0.35">
      <c r="B34" s="152" t="s">
        <v>183</v>
      </c>
      <c r="L34" s="152" t="s">
        <v>183</v>
      </c>
    </row>
    <row r="35" spans="2:18" ht="25.05" customHeight="1" x14ac:dyDescent="0.35">
      <c r="B35" s="152" t="s">
        <v>180</v>
      </c>
      <c r="L35" s="152" t="s">
        <v>186</v>
      </c>
    </row>
    <row r="36" spans="2:18" ht="25.05" customHeight="1" x14ac:dyDescent="0.35">
      <c r="B36" s="150"/>
      <c r="G36" s="157"/>
      <c r="H36" s="150"/>
      <c r="L36" s="150"/>
      <c r="Q36" s="157"/>
      <c r="R36" s="150"/>
    </row>
  </sheetData>
  <sheetProtection algorithmName="SHA-512" hashValue="/QLNBLScDNh32HGGvbcGWgZ0jmOxmjZzpGTLgrFafgLmjHmqzEHyWjN7cfDa5zyrpaim6HpFhD8wYiR8H3S99A==" saltValue="RQQN/GayP4PnJPc67HHfeQ==" spinCount="100000" sheet="1" objects="1" scenarios="1"/>
  <pageMargins left="0.7" right="0.7" top="0.75" bottom="0.75" header="0.3" footer="0.3"/>
  <pageSetup paperSize="9" scale="71" orientation="portrait" r:id="rId1"/>
  <colBreaks count="1" manualBreakCount="1">
    <brk id="1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FA4D-96C1-4835-AED2-01EBA0045772}">
  <dimension ref="B6:R36"/>
  <sheetViews>
    <sheetView showGridLines="0" showRowColHeaders="0" zoomScaleNormal="100" workbookViewId="0">
      <selection activeCell="D3" sqref="D3"/>
    </sheetView>
  </sheetViews>
  <sheetFormatPr baseColWidth="10" defaultRowHeight="15.05" x14ac:dyDescent="0.3"/>
  <cols>
    <col min="6" max="6" width="4" customWidth="1"/>
    <col min="7" max="7" width="10.77734375" customWidth="1"/>
    <col min="10" max="10" width="21.5546875" customWidth="1"/>
    <col min="16" max="16" width="4.88671875" customWidth="1"/>
    <col min="17" max="17" width="11.88671875" customWidth="1"/>
  </cols>
  <sheetData>
    <row r="6" spans="4:18" ht="23.8" x14ac:dyDescent="0.45">
      <c r="D6" s="153" t="s">
        <v>195</v>
      </c>
      <c r="L6" s="153" t="s">
        <v>196</v>
      </c>
    </row>
    <row r="9" spans="4:18" ht="17.55" x14ac:dyDescent="0.3">
      <c r="D9" s="154" t="s">
        <v>185</v>
      </c>
      <c r="M9" s="154" t="s">
        <v>187</v>
      </c>
    </row>
    <row r="15" spans="4:18" x14ac:dyDescent="0.3">
      <c r="R15" s="156" t="s">
        <v>200</v>
      </c>
    </row>
    <row r="16" spans="4:18" x14ac:dyDescent="0.3">
      <c r="H16" s="156" t="s">
        <v>199</v>
      </c>
      <c r="R16" s="156"/>
    </row>
    <row r="26" spans="2:13" ht="25.05" customHeight="1" x14ac:dyDescent="0.35">
      <c r="B26" s="152" t="s">
        <v>176</v>
      </c>
      <c r="L26" s="152" t="s">
        <v>176</v>
      </c>
    </row>
    <row r="27" spans="2:13" ht="13.95" customHeight="1" x14ac:dyDescent="0.35">
      <c r="B27" s="150" t="s">
        <v>197</v>
      </c>
      <c r="L27" s="150" t="s">
        <v>197</v>
      </c>
    </row>
    <row r="28" spans="2:13" ht="13.95" customHeight="1" x14ac:dyDescent="0.35">
      <c r="B28" s="150"/>
      <c r="C28" s="150" t="s">
        <v>194</v>
      </c>
      <c r="L28" s="150"/>
      <c r="M28" s="150" t="s">
        <v>194</v>
      </c>
    </row>
    <row r="29" spans="2:13" ht="25.05" customHeight="1" x14ac:dyDescent="0.35">
      <c r="B29" s="152" t="s">
        <v>177</v>
      </c>
      <c r="L29" s="152" t="s">
        <v>177</v>
      </c>
    </row>
    <row r="30" spans="2:13" ht="25.05" customHeight="1" x14ac:dyDescent="0.35">
      <c r="B30" s="152" t="s">
        <v>178</v>
      </c>
      <c r="L30" s="152" t="s">
        <v>178</v>
      </c>
    </row>
    <row r="31" spans="2:13" ht="17.55" customHeight="1" x14ac:dyDescent="0.35">
      <c r="B31" s="152" t="s">
        <v>179</v>
      </c>
      <c r="L31" s="152" t="s">
        <v>179</v>
      </c>
    </row>
    <row r="32" spans="2:13" ht="25.05" customHeight="1" x14ac:dyDescent="0.35">
      <c r="B32" s="152" t="s">
        <v>181</v>
      </c>
      <c r="L32" s="152" t="s">
        <v>181</v>
      </c>
    </row>
    <row r="33" spans="2:18" ht="13.95" customHeight="1" x14ac:dyDescent="0.35">
      <c r="B33" s="152" t="s">
        <v>182</v>
      </c>
      <c r="L33" s="152" t="s">
        <v>182</v>
      </c>
    </row>
    <row r="34" spans="2:18" ht="13.95" customHeight="1" x14ac:dyDescent="0.35">
      <c r="B34" s="152" t="s">
        <v>183</v>
      </c>
      <c r="L34" s="152" t="s">
        <v>183</v>
      </c>
    </row>
    <row r="35" spans="2:18" ht="25.05" customHeight="1" x14ac:dyDescent="0.35">
      <c r="B35" s="152" t="s">
        <v>180</v>
      </c>
      <c r="L35" s="152" t="s">
        <v>186</v>
      </c>
    </row>
    <row r="36" spans="2:18" ht="25.05" customHeight="1" x14ac:dyDescent="0.35">
      <c r="B36" s="150"/>
      <c r="G36" s="157"/>
      <c r="H36" s="150"/>
      <c r="L36" s="150"/>
      <c r="Q36" s="157"/>
      <c r="R36" s="150"/>
    </row>
  </sheetData>
  <sheetProtection algorithmName="SHA-512" hashValue="JwaJeY+rWDebSpkTPmCUUh19aczitOdFCC6JCFSf+jBiYDJe0ZdULwGBa/EeXDkSzTc69IiF7rg0T2vUJqvYug==" saltValue="gNoV/fy7Quf3HtTj5dc+lA==" spinCount="100000" sheet="1" objects="1" scenarios="1"/>
  <pageMargins left="0.7" right="0.7" top="0.75" bottom="0.75" header="0.3" footer="0.3"/>
  <pageSetup paperSize="9" scale="72" orientation="portrait" horizontalDpi="4294967293" verticalDpi="0" r:id="rId1"/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38504-5EF2-4202-B2F9-A02929CFB8AE}">
  <sheetPr codeName="Feuil8"/>
  <dimension ref="C8:H34"/>
  <sheetViews>
    <sheetView showGridLines="0" showRowColHeaders="0" zoomScale="80" zoomScaleNormal="80" workbookViewId="0"/>
  </sheetViews>
  <sheetFormatPr baseColWidth="10" defaultRowHeight="15.05" x14ac:dyDescent="0.3"/>
  <cols>
    <col min="7" max="7" width="10.33203125" customWidth="1"/>
    <col min="8" max="8" width="26.5546875" customWidth="1"/>
  </cols>
  <sheetData>
    <row r="8" spans="4:4" ht="23.8" x14ac:dyDescent="0.45">
      <c r="D8" s="153" t="s">
        <v>188</v>
      </c>
    </row>
    <row r="28" spans="3:5" ht="25.05" customHeight="1" x14ac:dyDescent="0.35">
      <c r="C28" s="152" t="s">
        <v>191</v>
      </c>
    </row>
    <row r="29" spans="3:5" ht="16.3" x14ac:dyDescent="0.35">
      <c r="C29" s="150" t="s">
        <v>184</v>
      </c>
    </row>
    <row r="30" spans="3:5" ht="16.3" x14ac:dyDescent="0.35">
      <c r="C30" s="150"/>
      <c r="E30" s="150" t="s">
        <v>194</v>
      </c>
    </row>
    <row r="31" spans="3:5" ht="25.05" customHeight="1" x14ac:dyDescent="0.35">
      <c r="C31" s="150" t="s">
        <v>161</v>
      </c>
    </row>
    <row r="32" spans="3:5" ht="25.05" customHeight="1" x14ac:dyDescent="0.35">
      <c r="C32" s="152" t="s">
        <v>189</v>
      </c>
    </row>
    <row r="33" spans="3:8" ht="25.05" customHeight="1" x14ac:dyDescent="0.35">
      <c r="C33" s="152" t="s">
        <v>190</v>
      </c>
    </row>
    <row r="34" spans="3:8" ht="25.05" customHeight="1" x14ac:dyDescent="0.35">
      <c r="C34" s="150"/>
      <c r="H34" s="151"/>
    </row>
  </sheetData>
  <sheetProtection algorithmName="SHA-512" hashValue="tN6vsW6FOUBcifH1dgEuAMfyfHbY37lcvW0PNSmHglh3mqC1bSA5RRijJypurzhaJuH50Rsj4tyZDHz8ZaPhAA==" saltValue="3o3cq+OnhEH+6EDdXTwapw==" spinCount="100000" sheet="1" objects="1" scenarios="1"/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ACCEUIL</vt:lpstr>
      <vt:lpstr>vs</vt:lpstr>
      <vt:lpstr>INTERMEDIAIRE</vt:lpstr>
      <vt:lpstr>toiture</vt:lpstr>
      <vt:lpstr>desc vs</vt:lpstr>
      <vt:lpstr>desc vs ebs</vt:lpstr>
      <vt:lpstr>desc inter AVEC R</vt:lpstr>
      <vt:lpstr>desc inter sans R</vt:lpstr>
      <vt:lpstr>desc tt</vt:lpstr>
      <vt:lpstr>INTERMEDIAIRE!Zone_d_impression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ader</dc:creator>
  <cp:lastModifiedBy>patrick ader</cp:lastModifiedBy>
  <cp:lastPrinted>2023-11-06T17:24:51Z</cp:lastPrinted>
  <dcterms:created xsi:type="dcterms:W3CDTF">2023-10-02T16:41:42Z</dcterms:created>
  <dcterms:modified xsi:type="dcterms:W3CDTF">2023-11-07T09:47:53Z</dcterms:modified>
</cp:coreProperties>
</file>